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1"/>
  <workbookPr codeName="ThisWorkbook" defaultThemeVersion="166925"/>
  <mc:AlternateContent xmlns:mc="http://schemas.openxmlformats.org/markup-compatibility/2006">
    <mc:Choice Requires="x15">
      <x15ac:absPath xmlns:x15ac="http://schemas.microsoft.com/office/spreadsheetml/2010/11/ac" url="D:\STORK_PC\Geerthenk.wijnants\Stork\Projecten\WCM_2022-2023\Best Practise CUI Management (EN)\"/>
    </mc:Choice>
  </mc:AlternateContent>
  <xr:revisionPtr revIDLastSave="0" documentId="11_375530C59B27A79FEE9DD6DD8336DA3FF5EA0D18" xr6:coauthVersionLast="47" xr6:coauthVersionMax="47" xr10:uidLastSave="{00000000-0000-0000-0000-000000000000}"/>
  <bookViews>
    <workbookView xWindow="0" yWindow="0" windowWidth="19200" windowHeight="7605" tabRatio="813" xr2:uid="{00000000-000D-0000-FFFF-FFFF00000000}"/>
  </bookViews>
  <sheets>
    <sheet name="Introduction" sheetId="7" r:id="rId1"/>
    <sheet name="Scenarios" sheetId="5" r:id="rId2"/>
    <sheet name="Life cycle costing" sheetId="1" r:id="rId3"/>
    <sheet name="Estimation formulae" sheetId="4" r:id="rId4"/>
    <sheet name="References" sheetId="6" r:id="rId5"/>
    <sheet name="NDT Effectiveness" sheetId="13" r:id="rId6"/>
    <sheet name="SeparationTab" sheetId="11" r:id="rId7"/>
    <sheet name="Input and Output" sheetId="8" r:id="rId8"/>
    <sheet name="Source INSU 2002" sheetId="9" r:id="rId9"/>
    <sheet name="Source SCAFF 2004" sheetId="10" r:id="rId10"/>
  </sheets>
  <externalReferences>
    <externalReference r:id="rId11"/>
  </externalReferences>
  <definedNames>
    <definedName name="Accessitibility">'NDT Effectiveness'!$C$41</definedName>
    <definedName name="_xlnm.Print_Area" localSheetId="0">Introduction!$C$4:$F$34</definedName>
    <definedName name="_xlnm.Print_Area" localSheetId="9">'Source SCAFF 2004'!$A$1:$AK$71</definedName>
    <definedName name="ColdIsolCosts">'Input and Output'!$J$36</definedName>
    <definedName name="HotIsolCosts">'Input and Output'!$J$31</definedName>
    <definedName name="NDT_Kosten">'NDT Effectiveness'!$O$2:$O$12</definedName>
    <definedName name="NDT_Technieken">'NDT Effectiveness'!$P$2:$P$12</definedName>
    <definedName name="NDTEff">'NDT Effectiveness'!$D$47:$F$51</definedName>
    <definedName name="NDTEffRatings" comment="De effectiviteit van de betreffend NDT techniek, zoals toegekend middels de effectiviteits classificatie.">'NDT Effectiveness'!$C$14:$M$19</definedName>
    <definedName name="RemLifeTimDef">'Estimation formulae'!$C$8</definedName>
    <definedName name="RemYrsOfUse">'Life cycle costing'!$D$10</definedName>
    <definedName name="Risk_MOTBF">'[1]NEN-EN 16991'!$AB$3:$AF$7</definedName>
    <definedName name="ScrInspIntDef">'Estimation formulae'!$C$6</definedName>
    <definedName name="Sensitivity">'NDT Effectiveness'!$C$40</definedName>
    <definedName name="Typicals">'NDT Effectiveness'!$B$14:$B$19</definedName>
    <definedName name="VisInspIntDef">'Estimation formulae'!$C$5</definedName>
  </definedNames>
  <calcPr calcId="162913"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F22" i="1"/>
  <c r="F44" i="1"/>
  <c r="D44" i="1"/>
  <c r="E44" i="1"/>
  <c r="F54" i="1"/>
  <c r="F59" i="1"/>
  <c r="E61" i="1"/>
  <c r="D61" i="1"/>
  <c r="F64" i="1" s="1"/>
  <c r="F65" i="1"/>
  <c r="D68" i="1"/>
  <c r="D10" i="8" l="1"/>
  <c r="D9" i="8"/>
  <c r="D8" i="8"/>
  <c r="P6" i="13" l="1"/>
  <c r="N42" i="13"/>
  <c r="O2" i="13" l="1"/>
  <c r="O12" i="13" l="1"/>
  <c r="O11" i="13"/>
  <c r="O10" i="13"/>
  <c r="O9" i="13"/>
  <c r="O8" i="13"/>
  <c r="O7" i="13"/>
  <c r="O6" i="13"/>
  <c r="O5" i="13"/>
  <c r="O4" i="13"/>
  <c r="O3" i="13"/>
  <c r="D33" i="1"/>
  <c r="D37" i="8" l="1"/>
  <c r="D7" i="8"/>
  <c r="J17" i="5" l="1"/>
  <c r="J16" i="5"/>
  <c r="J15" i="5"/>
  <c r="J14" i="5"/>
  <c r="J13" i="5"/>
  <c r="J12" i="5"/>
  <c r="J11" i="5"/>
  <c r="J10" i="5"/>
  <c r="J9" i="5"/>
  <c r="J8" i="5"/>
  <c r="J7" i="5"/>
  <c r="J6" i="5"/>
  <c r="C41" i="13"/>
  <c r="C40" i="13"/>
  <c r="F49" i="1"/>
  <c r="F52" i="1"/>
  <c r="F48" i="1"/>
  <c r="P2" i="13"/>
  <c r="D82" i="1" s="1"/>
  <c r="P3" i="13"/>
  <c r="P4" i="13"/>
  <c r="P5" i="13"/>
  <c r="P7" i="13"/>
  <c r="P8" i="13"/>
  <c r="P9" i="13"/>
  <c r="P10" i="13"/>
  <c r="P11" i="13"/>
  <c r="P12" i="13"/>
  <c r="C39" i="13" l="1"/>
  <c r="I5" i="9" l="1"/>
  <c r="J30" i="8" s="1"/>
  <c r="I6" i="9"/>
  <c r="I40" i="9"/>
  <c r="D42" i="9" s="1"/>
  <c r="I41" i="9"/>
  <c r="J6" i="8"/>
  <c r="J9" i="8" s="1"/>
  <c r="D13" i="8"/>
  <c r="D38" i="8" s="1"/>
  <c r="D35" i="8"/>
  <c r="D36" i="8"/>
  <c r="F58" i="1"/>
  <c r="J31" i="8" l="1"/>
  <c r="D80" i="1" s="1"/>
  <c r="F80" i="1" s="1"/>
  <c r="D7" i="9"/>
  <c r="J8" i="8"/>
  <c r="J10" i="8" s="1"/>
  <c r="D75" i="1" s="1"/>
  <c r="J35" i="8"/>
  <c r="J36" i="8" s="1"/>
  <c r="F17" i="1"/>
  <c r="F31" i="1"/>
  <c r="F42" i="1"/>
  <c r="F47" i="1"/>
  <c r="F75" i="1" l="1"/>
  <c r="J18" i="5"/>
  <c r="J19" i="5" s="1"/>
  <c r="F38" i="1"/>
  <c r="F37" i="1"/>
  <c r="F36" i="1"/>
  <c r="F35" i="1"/>
  <c r="F34" i="1"/>
  <c r="F33" i="1"/>
  <c r="F32" i="1"/>
  <c r="F20" i="1"/>
  <c r="F18" i="1"/>
  <c r="F40" i="1" l="1"/>
  <c r="C5" i="5" s="1"/>
  <c r="H4" i="4"/>
  <c r="I4" i="4" s="1"/>
  <c r="H3" i="4"/>
  <c r="I3" i="4" s="1"/>
  <c r="G4" i="4"/>
  <c r="G3" i="4"/>
  <c r="F50" i="1" l="1"/>
  <c r="F51" i="1"/>
  <c r="F53" i="1"/>
  <c r="F56" i="1" l="1"/>
  <c r="F69" i="1"/>
  <c r="F81" i="1" s="1"/>
  <c r="F19" i="1"/>
  <c r="F21" i="1"/>
  <c r="F23" i="1"/>
  <c r="F24" i="1"/>
  <c r="F25" i="1"/>
  <c r="F26" i="1"/>
  <c r="F28" i="1" l="1"/>
  <c r="AV49" i="1"/>
  <c r="AV50" i="1"/>
  <c r="AV51" i="1"/>
  <c r="AV52" i="1"/>
  <c r="AV53" i="1"/>
  <c r="AV54" i="1"/>
  <c r="AV48" i="1"/>
  <c r="AV38" i="1"/>
  <c r="AV33" i="1"/>
  <c r="AV34" i="1"/>
  <c r="AV35" i="1"/>
  <c r="AV36" i="1"/>
  <c r="AV37" i="1"/>
  <c r="AV32" i="1"/>
  <c r="AV39" i="1" l="1"/>
  <c r="AV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Geert Henk Wijnants</author>
  </authors>
  <commentList>
    <comment ref="B3" authorId="0" shapeId="0" xr:uid="{00000000-0006-0000-0100-000001000000}">
      <text>
        <r>
          <rPr>
            <b/>
            <sz val="9"/>
            <color indexed="81"/>
            <rFont val="Tahoma"/>
            <family val="2"/>
          </rPr>
          <t>Explanation:</t>
        </r>
        <r>
          <rPr>
            <sz val="9"/>
            <color indexed="81"/>
            <rFont val="Tahoma"/>
            <family val="2"/>
          </rPr>
          <t xml:space="preserve">
These three stacked cells contain the sample calculation, as it is applied throughout the table for all combinations shown.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Geert Henk Wijnants</author>
  </authors>
  <commentList>
    <comment ref="D20" authorId="0" shapeId="0" xr:uid="{00000000-0006-0000-0200-000001000000}">
      <text>
        <r>
          <rPr>
            <b/>
            <sz val="9"/>
            <color indexed="81"/>
            <rFont val="Tahoma"/>
            <charset val="1"/>
          </rPr>
          <t>21Nov19:</t>
        </r>
        <r>
          <rPr>
            <sz val="9"/>
            <color indexed="81"/>
            <rFont val="Tahoma"/>
            <charset val="1"/>
          </rPr>
          <t xml:space="preserve">
Adjusted from 600 following input from the working group. See tab [NDT effectiveness] </t>
        </r>
      </text>
    </comment>
    <comment ref="A27" authorId="0" shapeId="0" xr:uid="{00000000-0006-0000-0200-000002000000}">
      <text>
        <r>
          <rPr>
            <b/>
            <sz val="9"/>
            <color indexed="81"/>
            <rFont val="Tahoma"/>
            <family val="2"/>
          </rPr>
          <t>Explanation:</t>
        </r>
        <r>
          <rPr>
            <sz val="9"/>
            <color indexed="81"/>
            <rFont val="Tahoma"/>
            <family val="2"/>
          </rPr>
          <t xml:space="preserve">
This was taken as a starting point in order to impose a framework on the required quality of the work process "blasting and painting". </t>
        </r>
      </text>
    </comment>
    <comment ref="B27" authorId="0" shapeId="0" xr:uid="{00000000-0006-0000-0200-000003000000}">
      <text>
        <r>
          <rPr>
            <b/>
            <sz val="9"/>
            <color indexed="81"/>
            <rFont val="Tahoma"/>
            <family val="2"/>
          </rPr>
          <t>Toelichting:</t>
        </r>
        <r>
          <rPr>
            <sz val="9"/>
            <color indexed="81"/>
            <rFont val="Tahoma"/>
            <family val="2"/>
          </rPr>
          <t xml:space="preserve">
Dit is als uitgangspunt genomen om daarmee een kader op te leggen aan de benodigde kwaliteit van het werk proces "stralen en schilderen".</t>
        </r>
      </text>
    </comment>
    <comment ref="D33" authorId="0" shapeId="0" xr:uid="{00000000-0006-0000-0200-000004000000}">
      <text>
        <r>
          <rPr>
            <b/>
            <sz val="9"/>
            <color indexed="81"/>
            <rFont val="Tahoma"/>
            <family val="2"/>
          </rPr>
          <t>21Nov19:</t>
        </r>
        <r>
          <rPr>
            <sz val="9"/>
            <color indexed="81"/>
            <rFont val="Tahoma"/>
            <family val="2"/>
          </rPr>
          <t xml:space="preserve">
Wás earlier 1.500 .</t>
        </r>
      </text>
    </comment>
    <comment ref="A39" authorId="0" shapeId="0" xr:uid="{00000000-0006-0000-0200-000005000000}">
      <text>
        <r>
          <rPr>
            <b/>
            <sz val="9"/>
            <color indexed="81"/>
            <rFont val="Tahoma"/>
            <family val="2"/>
          </rPr>
          <t>Explanation:</t>
        </r>
        <r>
          <rPr>
            <sz val="9"/>
            <color indexed="81"/>
            <rFont val="Tahoma"/>
            <family val="2"/>
          </rPr>
          <t xml:space="preserve">
This was taken as the starting point in order to impose a framework for the required quality of the screening process.
(Note: screening ≡ assess condition using NDT) </t>
        </r>
      </text>
    </comment>
    <comment ref="B39" authorId="0" shapeId="0" xr:uid="{00000000-0006-0000-0200-000006000000}">
      <text>
        <r>
          <rPr>
            <b/>
            <sz val="9"/>
            <color indexed="81"/>
            <rFont val="Tahoma"/>
            <family val="2"/>
          </rPr>
          <t>Toelichting:</t>
        </r>
        <r>
          <rPr>
            <sz val="9"/>
            <color indexed="81"/>
            <rFont val="Tahoma"/>
            <family val="2"/>
          </rPr>
          <t xml:space="preserve">
Dit is als uitgangspunt genomen om daarmee een kader op te leggen aan de benodigde kwaliteit van het screenings proces.
(N.b.: screening ≡ conditie beoordelen m.b.v. NDO)</t>
        </r>
      </text>
    </comment>
    <comment ref="E44" authorId="0" shapeId="0" xr:uid="{00000000-0006-0000-0200-000007000000}">
      <text>
        <r>
          <rPr>
            <b/>
            <sz val="9"/>
            <color indexed="81"/>
            <rFont val="Tahoma"/>
            <family val="2"/>
          </rPr>
          <t>Example:</t>
        </r>
        <r>
          <rPr>
            <sz val="9"/>
            <color indexed="81"/>
            <rFont val="Tahoma"/>
            <family val="2"/>
          </rPr>
          <t xml:space="preserve">
A pipeline system with class 4 failure consequences, based on a total length of 2 km, resulting in 10 Mio/20 or 50 k€ per failure situation. </t>
        </r>
      </text>
    </comment>
    <comment ref="A55" authorId="0" shapeId="0" xr:uid="{00000000-0006-0000-0200-000008000000}">
      <text>
        <r>
          <rPr>
            <b/>
            <sz val="9"/>
            <color indexed="81"/>
            <rFont val="Tahoma"/>
            <family val="2"/>
          </rPr>
          <t>Explanation:</t>
        </r>
        <r>
          <rPr>
            <sz val="9"/>
            <color indexed="81"/>
            <rFont val="Tahoma"/>
            <family val="2"/>
          </rPr>
          <t xml:space="preserve">
This has been taken as a starting point in order to impose a framework for the required quality for the upgrade process. </t>
        </r>
      </text>
    </comment>
    <comment ref="B55" authorId="0" shapeId="0" xr:uid="{00000000-0006-0000-0200-000009000000}">
      <text>
        <r>
          <rPr>
            <b/>
            <sz val="9"/>
            <color indexed="81"/>
            <rFont val="Tahoma"/>
            <family val="2"/>
          </rPr>
          <t>Toelichting:</t>
        </r>
        <r>
          <rPr>
            <sz val="9"/>
            <color indexed="81"/>
            <rFont val="Tahoma"/>
            <family val="2"/>
          </rPr>
          <t xml:space="preserve">
Dit is als uitgangspunt genomen om daarmee een kader op te leggen aan de benodigde kwaliteit voor het upgrade proces.</t>
        </r>
      </text>
    </comment>
    <comment ref="A65" authorId="0" shapeId="0" xr:uid="{00000000-0006-0000-0200-00000A000000}">
      <text>
        <r>
          <rPr>
            <b/>
            <sz val="9"/>
            <color indexed="81"/>
            <rFont val="Tahoma"/>
            <charset val="1"/>
          </rPr>
          <t>Explanation:</t>
        </r>
        <r>
          <rPr>
            <sz val="9"/>
            <color indexed="81"/>
            <rFont val="Tahoma"/>
            <charset val="1"/>
          </rPr>
          <t xml:space="preserve">
Analogous to the "Screening with follow-up action" schenario, this is a step that will always apply. </t>
        </r>
      </text>
    </comment>
    <comment ref="B65" authorId="0" shapeId="0" xr:uid="{00000000-0006-0000-0200-00000B000000}">
      <text>
        <r>
          <rPr>
            <b/>
            <sz val="9"/>
            <color indexed="81"/>
            <rFont val="Tahoma"/>
            <charset val="1"/>
          </rPr>
          <t>Toelichting:</t>
        </r>
        <r>
          <rPr>
            <sz val="9"/>
            <color indexed="81"/>
            <rFont val="Tahoma"/>
            <charset val="1"/>
          </rPr>
          <t xml:space="preserve">
Analoog aan schenario "Screening met vervolgactie" is dit een stap die altijd van toepassing zal zijn.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Geert Henk Wijnants</author>
  </authors>
  <commentList>
    <comment ref="O1" authorId="0" shapeId="0" xr:uid="{00000000-0006-0000-0500-000001000000}">
      <text>
        <r>
          <rPr>
            <b/>
            <sz val="9"/>
            <color indexed="81"/>
            <rFont val="Tahoma"/>
            <family val="2"/>
          </rPr>
          <t>Explanation:</t>
        </r>
        <r>
          <rPr>
            <sz val="9"/>
            <color indexed="81"/>
            <rFont val="Tahoma"/>
            <family val="2"/>
          </rPr>
          <t xml:space="preserve">
These cost calculations are based on the source information used. </t>
        </r>
      </text>
    </comment>
    <comment ref="O2" authorId="0" shapeId="0" xr:uid="{00000000-0006-0000-0500-000002000000}">
      <text>
        <r>
          <rPr>
            <b/>
            <sz val="9"/>
            <color indexed="81"/>
            <rFont val="Tahoma"/>
            <family val="2"/>
          </rPr>
          <t>References:</t>
        </r>
        <r>
          <rPr>
            <sz val="9"/>
            <color indexed="81"/>
            <rFont val="Tahoma"/>
            <family val="2"/>
          </rPr>
          <t xml:space="preserve">
Taken from worksheet [Aanvullende info kosten_november 2019 v3.xlsx].</t>
        </r>
      </text>
    </comment>
    <comment ref="O3" authorId="0" shapeId="0" xr:uid="{00000000-0006-0000-0500-000003000000}">
      <text>
        <r>
          <rPr>
            <b/>
            <sz val="9"/>
            <color indexed="81"/>
            <rFont val="Tahoma"/>
            <family val="2"/>
          </rPr>
          <t>References:</t>
        </r>
        <r>
          <rPr>
            <sz val="9"/>
            <color indexed="81"/>
            <rFont val="Tahoma"/>
            <family val="2"/>
          </rPr>
          <t xml:space="preserve">
Taken from worksheet [Aanvullende info kosten_november 2019 v3.xlsx].</t>
        </r>
      </text>
    </comment>
    <comment ref="O4" authorId="0" shapeId="0" xr:uid="{00000000-0006-0000-0500-000004000000}">
      <text>
        <r>
          <rPr>
            <b/>
            <sz val="9"/>
            <color indexed="81"/>
            <rFont val="Tahoma"/>
            <family val="2"/>
          </rPr>
          <t>References:</t>
        </r>
        <r>
          <rPr>
            <sz val="9"/>
            <color indexed="81"/>
            <rFont val="Tahoma"/>
            <family val="2"/>
          </rPr>
          <t xml:space="preserve">
Taken from worksheet [Aanvullende info kosten_november 2019 v3.xlsx].</t>
        </r>
      </text>
    </comment>
    <comment ref="O5" authorId="0" shapeId="0" xr:uid="{00000000-0006-0000-0500-000005000000}">
      <text>
        <r>
          <rPr>
            <b/>
            <sz val="9"/>
            <color indexed="81"/>
            <rFont val="Tahoma"/>
            <family val="2"/>
          </rPr>
          <t>References:</t>
        </r>
        <r>
          <rPr>
            <sz val="9"/>
            <color indexed="81"/>
            <rFont val="Tahoma"/>
            <family val="2"/>
          </rPr>
          <t xml:space="preserve">
Taken from worksheet [Aanvullende info kosten_november 2019 v3.xlsx].</t>
        </r>
      </text>
    </comment>
    <comment ref="O6" authorId="0" shapeId="0" xr:uid="{00000000-0006-0000-0500-000006000000}">
      <text>
        <r>
          <rPr>
            <b/>
            <sz val="9"/>
            <color indexed="81"/>
            <rFont val="Tahoma"/>
            <family val="2"/>
          </rPr>
          <t>References:</t>
        </r>
        <r>
          <rPr>
            <sz val="9"/>
            <color indexed="81"/>
            <rFont val="Tahoma"/>
            <family val="2"/>
          </rPr>
          <t xml:space="preserve">
Taken from worksheet [Aanvullende info kosten_november 2019 v3.xlsx].</t>
        </r>
      </text>
    </comment>
    <comment ref="O7" authorId="0" shapeId="0" xr:uid="{00000000-0006-0000-0500-000007000000}">
      <text>
        <r>
          <rPr>
            <b/>
            <sz val="9"/>
            <color indexed="81"/>
            <rFont val="Tahoma"/>
            <family val="2"/>
          </rPr>
          <t>References:</t>
        </r>
        <r>
          <rPr>
            <sz val="9"/>
            <color indexed="81"/>
            <rFont val="Tahoma"/>
            <family val="2"/>
          </rPr>
          <t xml:space="preserve">
Taken from worksheet [Aanvullende info kosten_november 2019 v3.xlsx].</t>
        </r>
      </text>
    </comment>
    <comment ref="O8" authorId="0" shapeId="0" xr:uid="{00000000-0006-0000-0500-000008000000}">
      <text>
        <r>
          <rPr>
            <b/>
            <sz val="9"/>
            <color indexed="81"/>
            <rFont val="Tahoma"/>
            <family val="2"/>
          </rPr>
          <t>References:</t>
        </r>
        <r>
          <rPr>
            <sz val="9"/>
            <color indexed="81"/>
            <rFont val="Tahoma"/>
            <family val="2"/>
          </rPr>
          <t xml:space="preserve">
Taken from worksheet [Aanvullende info kosten_november 2019 v3.xlsx].</t>
        </r>
      </text>
    </comment>
    <comment ref="O9" authorId="0" shapeId="0" xr:uid="{00000000-0006-0000-0500-000009000000}">
      <text>
        <r>
          <rPr>
            <b/>
            <sz val="9"/>
            <color indexed="81"/>
            <rFont val="Tahoma"/>
            <family val="2"/>
          </rPr>
          <t>References:</t>
        </r>
        <r>
          <rPr>
            <sz val="9"/>
            <color indexed="81"/>
            <rFont val="Tahoma"/>
            <family val="2"/>
          </rPr>
          <t xml:space="preserve">
Taken from worksheet [Aanvullende info kosten_november 2019 v3.xlsx].</t>
        </r>
      </text>
    </comment>
    <comment ref="O10" authorId="0" shapeId="0" xr:uid="{00000000-0006-0000-0500-00000A000000}">
      <text>
        <r>
          <rPr>
            <b/>
            <sz val="9"/>
            <color indexed="81"/>
            <rFont val="Tahoma"/>
            <family val="2"/>
          </rPr>
          <t>References:</t>
        </r>
        <r>
          <rPr>
            <sz val="9"/>
            <color indexed="81"/>
            <rFont val="Tahoma"/>
            <family val="2"/>
          </rPr>
          <t xml:space="preserve">
Taken from worksheet [Aanvullende info kosten_november 2019 v3.xlsx].</t>
        </r>
      </text>
    </comment>
    <comment ref="O11" authorId="0" shapeId="0" xr:uid="{00000000-0006-0000-0500-00000B000000}">
      <text>
        <r>
          <rPr>
            <b/>
            <sz val="9"/>
            <color indexed="81"/>
            <rFont val="Tahoma"/>
            <family val="2"/>
          </rPr>
          <t>References:</t>
        </r>
        <r>
          <rPr>
            <sz val="9"/>
            <color indexed="81"/>
            <rFont val="Tahoma"/>
            <family val="2"/>
          </rPr>
          <t xml:space="preserve">
Taken from worksheet [Aanvullende info kosten_november 2019 v3.xlsx].</t>
        </r>
      </text>
    </comment>
    <comment ref="O12" authorId="0" shapeId="0" xr:uid="{00000000-0006-0000-0500-00000C000000}">
      <text>
        <r>
          <rPr>
            <b/>
            <sz val="9"/>
            <color indexed="81"/>
            <rFont val="Tahoma"/>
            <family val="2"/>
          </rPr>
          <t>References:</t>
        </r>
        <r>
          <rPr>
            <sz val="9"/>
            <color indexed="81"/>
            <rFont val="Tahoma"/>
            <family val="2"/>
          </rPr>
          <t xml:space="preserve">
Taken from worksheet [Aanvullende info kosten_november 2019 v3.xlsx].</t>
        </r>
      </text>
    </comment>
    <comment ref="C39" authorId="0" shapeId="0" xr:uid="{00000000-0006-0000-0500-00000D000000}">
      <text>
        <r>
          <rPr>
            <b/>
            <sz val="9"/>
            <color indexed="81"/>
            <rFont val="Tahoma"/>
            <family val="2"/>
          </rPr>
          <t xml:space="preserve">Explanation:
</t>
        </r>
        <r>
          <rPr>
            <sz val="9"/>
            <color indexed="81"/>
            <rFont val="Tahoma"/>
            <family val="2"/>
          </rPr>
          <t>The reduction factor varies between 100%, no reduction at all, to 1%, maximum reduction.</t>
        </r>
      </text>
    </comment>
    <comment ref="B40" authorId="0" shapeId="0" xr:uid="{00000000-0006-0000-0500-00000E000000}">
      <text>
        <r>
          <rPr>
            <b/>
            <sz val="9"/>
            <color indexed="81"/>
            <rFont val="Tahoma"/>
            <family val="2"/>
          </rPr>
          <t>Please note:</t>
        </r>
        <r>
          <rPr>
            <sz val="9"/>
            <color indexed="81"/>
            <rFont val="Tahoma"/>
            <family val="2"/>
          </rPr>
          <t xml:space="preserve">
The data on this tab is used in the scenarios.
That is why they are partly shielded where this could have an impact. </t>
        </r>
      </text>
    </comment>
    <comment ref="B41" authorId="0" shapeId="0" xr:uid="{00000000-0006-0000-0500-00000F000000}">
      <text>
        <r>
          <rPr>
            <b/>
            <sz val="9"/>
            <color indexed="81"/>
            <rFont val="Tahoma"/>
            <family val="2"/>
          </rPr>
          <t>Please note:</t>
        </r>
        <r>
          <rPr>
            <sz val="9"/>
            <color indexed="81"/>
            <rFont val="Tahoma"/>
            <family val="2"/>
          </rPr>
          <t xml:space="preserve">
The data on this tab is used in the scenarios.
That is why they are partly shielded where this could have an impact. </t>
        </r>
      </text>
    </comment>
    <comment ref="C43" authorId="0" shapeId="0" xr:uid="{00000000-0006-0000-0500-000010000000}">
      <text>
        <r>
          <rPr>
            <b/>
            <sz val="9"/>
            <color indexed="81"/>
            <rFont val="Tahoma"/>
            <family val="2"/>
          </rPr>
          <t>Remark:</t>
        </r>
        <r>
          <rPr>
            <sz val="9"/>
            <color indexed="81"/>
            <rFont val="Tahoma"/>
            <family val="2"/>
          </rPr>
          <t xml:space="preserve">
This field cannot be filled in at the moment because data from practise is missing.
This is to be implemented in the future when additional information on this aspect has been obtained and validated.</t>
        </r>
      </text>
    </comment>
  </commentList>
</comments>
</file>

<file path=xl/sharedStrings.xml><?xml version="1.0" encoding="utf-8"?>
<sst xmlns="http://schemas.openxmlformats.org/spreadsheetml/2006/main" count="589" uniqueCount="396">
  <si>
    <t xml:space="preserve">
</t>
  </si>
  <si>
    <t>Tool which integrates project components for Risk Based CUI Management.</t>
  </si>
  <si>
    <t>World Class Maintenance.</t>
  </si>
  <si>
    <t>Tool: Costs analysis maintenance scenarios.</t>
  </si>
  <si>
    <t>Project:</t>
  </si>
  <si>
    <t>Risk Based Corrosion Under Isolation Management.</t>
  </si>
  <si>
    <t>This worksheet contains a cost calculation for determining the most cost-effective way to manage CUI.</t>
  </si>
  <si>
    <t>The asset owner can use this to determine which form of maintenance or modification is expected to be the most cost-effective.</t>
  </si>
  <si>
    <t>In this elaboration a "default" (standard) risk-based approach has been used, using "the RB-CUI management tool".</t>
  </si>
  <si>
    <t>The description of the components used to determine the risk can be read in that tool.</t>
  </si>
  <si>
    <t>This tool has been developed for those who (a) do not yet have an approach or (b) want to review their own approach.</t>
  </si>
  <si>
    <t>This tool also has the function of testing the practicality of the WCM project end result.</t>
  </si>
  <si>
    <t xml:space="preserve">The motto used is: "an explicit decision-making process can be captured in a decision-making model". </t>
  </si>
  <si>
    <r>
      <rPr>
        <b/>
        <sz val="10"/>
        <color theme="1"/>
        <rFont val="Trebuchet MS"/>
        <family val="2"/>
      </rPr>
      <t xml:space="preserve">Color coding used: </t>
    </r>
    <r>
      <rPr>
        <sz val="9"/>
        <color theme="1"/>
        <rFont val="Trebuchet MS"/>
        <family val="2"/>
      </rPr>
      <t>(standard according to Microsoft Excel):</t>
    </r>
  </si>
  <si>
    <t>Input of data (input):</t>
  </si>
  <si>
    <t>Input</t>
  </si>
  <si>
    <t>Result of input (output):</t>
  </si>
  <si>
    <t>Output</t>
  </si>
  <si>
    <t>The following elements are provided as part of this tool:</t>
  </si>
  <si>
    <t>• Cost overview when choosing scenarios per pipe system.            Tab: [Scenarios]</t>
  </si>
  <si>
    <t>• Elaboration of the costs per scenario.                                        Tab: [Life cycle costing]</t>
  </si>
  <si>
    <t>• List of general basic data used in the calculation.                      Tab: [Estimation formulae]</t>
  </si>
  <si>
    <t>The calculations are based on one standard pipe length as the basis for the cost calculation.</t>
  </si>
  <si>
    <t>This calculation forms a unit of measure, with which the costs are calculated pro rata for other lengths.</t>
  </si>
  <si>
    <t>Efficiency benefits for larger volumes are not included (can be processed in cell [Scenarios].[C5] if desired)</t>
  </si>
  <si>
    <t>Based on the cost analysis, a choice based on risks and costs is possible for each pipe system.</t>
  </si>
  <si>
    <t xml:space="preserve">This enables the asset owner to make a substantiated assessment for the total asset. </t>
  </si>
  <si>
    <t>Developments:</t>
  </si>
  <si>
    <t>In the long term, it is foreseen that the number of scenarios can be expanded with various applied techniques.</t>
  </si>
  <si>
    <t>More nuance can then also be introduced by means of the risk level present, based on the degradation trend per pipeline.</t>
  </si>
  <si>
    <t>This will enable a further nuance in the risk-based asset management policy.</t>
  </si>
  <si>
    <t xml:space="preserve">Because these developments do not yet constitute "proven practice", they have not yet been included in this best practice. </t>
  </si>
  <si>
    <t>Elaboration: Casper Wassink; working group NDT Effectiveness.</t>
  </si>
  <si>
    <t xml:space="preserve">This sheet calculates the total costs of dealing with corrosion under insulation according to a specific program. </t>
  </si>
  <si>
    <t>Maintenance scenario:</t>
  </si>
  <si>
    <t>Screening with follow-up action</t>
  </si>
  <si>
    <t>Lengthe of the line:</t>
  </si>
  <si>
    <t>Scenarios: (total cost over remaining life):</t>
  </si>
  <si>
    <t>Costs:</t>
  </si>
  <si>
    <t>Blasting and painting</t>
  </si>
  <si>
    <t>Malfunction and repair</t>
  </si>
  <si>
    <t>Upgrading that excludes CUI</t>
  </si>
  <si>
    <t>Customization with (specific NDT technique; re-insulation/scaffolding) for specific problem</t>
  </si>
  <si>
    <t>Scenario choice:</t>
  </si>
  <si>
    <t>2" system</t>
  </si>
  <si>
    <t>4"product lines</t>
  </si>
  <si>
    <t>6" transport line</t>
  </si>
  <si>
    <t>Line: 4" bypass line</t>
  </si>
  <si>
    <t>6" steam line</t>
  </si>
  <si>
    <t>10" recycle gas system</t>
  </si>
  <si>
    <r>
      <t xml:space="preserve">Line lenghts to be entered </t>
    </r>
    <r>
      <rPr>
        <b/>
        <sz val="11"/>
        <color theme="1"/>
        <rFont val="Calibri"/>
        <family val="2"/>
        <scheme val="minor"/>
      </rPr>
      <t>in this</t>
    </r>
    <r>
      <rPr>
        <sz val="11"/>
        <color theme="1"/>
        <rFont val="Calibri"/>
        <family val="2"/>
        <scheme val="minor"/>
      </rPr>
      <t xml:space="preserve"> column with this color</t>
    </r>
  </si>
  <si>
    <t xml:space="preserve">Total maintenance costs over the lifetime: </t>
  </si>
  <si>
    <t xml:space="preserve">Annual costs: </t>
  </si>
  <si>
    <r>
      <rPr>
        <b/>
        <sz val="11"/>
        <color theme="1"/>
        <rFont val="Calibri"/>
        <family val="2"/>
        <scheme val="minor"/>
      </rPr>
      <t>Method:</t>
    </r>
    <r>
      <rPr>
        <sz val="11"/>
        <color theme="1"/>
        <rFont val="Calibri"/>
        <family val="2"/>
        <scheme val="minor"/>
      </rPr>
      <t xml:space="preserve"> enter in column C, in the gray-pink part, the pipe lengths that apply to the pipe(s) entered in column B.
The associated costs, when one of the four scenarios is being applied, are then shown in the following columns. </t>
    </r>
  </si>
  <si>
    <t>A total estimate can then be made by choosing the appropriate scenario for each pipeline in column [Scenario choice] and adding it up.
See example above in the right columns.</t>
  </si>
  <si>
    <r>
      <rPr>
        <b/>
        <sz val="14"/>
        <color theme="1"/>
        <rFont val="Calibri"/>
        <family val="2"/>
        <scheme val="minor"/>
      </rPr>
      <t>This tab contains an elaboration of the costs of various management scenarios.</t>
    </r>
    <r>
      <rPr>
        <b/>
        <sz val="11"/>
        <color theme="1"/>
        <rFont val="Calibri"/>
        <family val="2"/>
        <scheme val="minor"/>
      </rPr>
      <t xml:space="preserve">
</t>
    </r>
    <r>
      <rPr>
        <sz val="11"/>
        <color theme="1"/>
        <rFont val="Calibri"/>
        <family val="2"/>
        <scheme val="minor"/>
      </rPr>
      <t xml:space="preserve">This cost assessment focuses on the costs over the remaining useful life.
The costs and effects of the applied management method are reflected in the total costs over the lifespan.
That is an assessment based on "life cycle costing".
In this spreadsheet there are options available in certain places.
By standing in a cell it is explained what is possible. </t>
    </r>
  </si>
  <si>
    <r>
      <rPr>
        <b/>
        <sz val="14"/>
        <color theme="1"/>
        <rFont val="Calibri"/>
        <family val="2"/>
        <scheme val="minor"/>
      </rPr>
      <t>Dit tab bevat een uitwerking van de kosten van diverse beheersscenario's.</t>
    </r>
    <r>
      <rPr>
        <sz val="11"/>
        <color theme="1"/>
        <rFont val="Calibri"/>
        <family val="2"/>
        <scheme val="minor"/>
      </rPr>
      <t xml:space="preserve">
Deze kostenbeoordeling richt zich op de kosten over de resterende levensduur.
De kosten en effecten van de toegepaste wijze van beheer komen in de totale kosten over de levensduur tot uiting.
Dat is een beoordeling op basis van "life cycle costing".
In dit spreadsheet zijn op bepaalde plaatsen keuze opties aanwezig.
Door in een cel te gaan staan wordt toegelicht wat daarbij mogelijk is.</t>
    </r>
  </si>
  <si>
    <t>Current risk level:</t>
  </si>
  <si>
    <t>Huidig risico niveau:</t>
  </si>
  <si>
    <t>Likelihood category</t>
  </si>
  <si>
    <t>Waarschijnlijkheids categorie         (kans van zeer onwaarschijnlijk tot zeer waarschijnlijk; 1 t/m 5)</t>
  </si>
  <si>
    <t xml:space="preserve">The basic principle is that there is urgency because of the present risk. </t>
  </si>
  <si>
    <t>Severity category  (A -negligible- to E -desastrous- or Cat. 1 to Cat. 5)</t>
  </si>
  <si>
    <t>Ernst categorie                                    (A -verwaarloosbaar- t/m E -desastreus- oftewel Cat. 1 t/m Cat. 5)</t>
  </si>
  <si>
    <t>Object description:</t>
  </si>
  <si>
    <t>Object beschrijving:</t>
  </si>
  <si>
    <t>Pipe lines in a piping bridge</t>
  </si>
  <si>
    <t>Piping elevated in piperack</t>
  </si>
  <si>
    <t>Length (m)</t>
  </si>
  <si>
    <t>Lengte (meter)</t>
  </si>
  <si>
    <t>&lt;&lt; Fixed parameter.</t>
  </si>
  <si>
    <t>One expansion loop (4 bends)</t>
  </si>
  <si>
    <t>Één expansie loop (van 4 bochten)</t>
  </si>
  <si>
    <t>Years of remaining service</t>
  </si>
  <si>
    <t>Het aantal jaren van verwacht gebruik (na heden)</t>
  </si>
  <si>
    <t>&lt;&lt; Variable</t>
  </si>
  <si>
    <t>CUI inspection only: no CUPS inspection</t>
  </si>
  <si>
    <t>Alléén CUI  inspectie; géén CUPS inspectie (Corrosion Under Pipe Support)</t>
  </si>
  <si>
    <t>Corrosion rate (mm)</t>
  </si>
  <si>
    <t>Corrosie snelheid (mm.jr)</t>
  </si>
  <si>
    <t>Wall thickness (mm)</t>
  </si>
  <si>
    <t>Wanddikte (mm)</t>
  </si>
  <si>
    <t>Corrosion allowance (mm)</t>
  </si>
  <si>
    <t>Corrosie toeslag (mm)</t>
  </si>
  <si>
    <t>SCENARIO's:</t>
  </si>
  <si>
    <t>Remark</t>
  </si>
  <si>
    <t>Cost for one program</t>
  </si>
  <si>
    <t>Activity term</t>
  </si>
  <si>
    <t>Lifetime cost</t>
  </si>
  <si>
    <t>Scenario stralen en schilderen</t>
  </si>
  <si>
    <t>Coating every 20 years</t>
  </si>
  <si>
    <t>Coating iedere X jaar (Default = 20)</t>
  </si>
  <si>
    <t>Pre-inspection</t>
  </si>
  <si>
    <t>Pre-inspectie</t>
  </si>
  <si>
    <t>Visual inspection every 10 years</t>
  </si>
  <si>
    <t>Visuele inspectie iedere X jaar (Default = 10)</t>
  </si>
  <si>
    <t>12x4 CML's on bends every 5 years</t>
  </si>
  <si>
    <t>12x 4 Corrosie Monitoring Locaties (CML's) iedere X jaar (Default = 5)</t>
  </si>
  <si>
    <t>5x4 CML's on straights every 5 years</t>
  </si>
  <si>
    <t>5x4 CML's op rechte leidingdelen iedere X jaar (Default = 5)</t>
  </si>
  <si>
    <t>Scaffolding 100x4 m³, 3 weken, 20 euro per m3 per week</t>
  </si>
  <si>
    <t>Steigerbouw, 100x 4 m³, 3 weken, 20 euro per m³ per week.</t>
  </si>
  <si>
    <t>Accessibility for CML's 9 x moving platform</t>
  </si>
  <si>
    <t>Toegang naar CML's via 9 verstelbare platformen</t>
  </si>
  <si>
    <t>Cleaning &amp; blasting</t>
  </si>
  <si>
    <t>Schoonmaken en stralen</t>
  </si>
  <si>
    <t>Follow-up 1 location (pit-gauge)</t>
  </si>
  <si>
    <t>Vervolg meting, schadediepte (put-meting)</t>
  </si>
  <si>
    <t>Impact of scenarion on likelyhood: from level 4 to level 2</t>
  </si>
  <si>
    <t>Uitgangspunt: Effect van scenario op de kans: van niveau 4 naar niveau 2</t>
  </si>
  <si>
    <t xml:space="preserve">Sum of cost over lifetime (without cost of capital) </t>
  </si>
  <si>
    <t>Som van de kosten over de levensduur (zonder kapitaallasten)</t>
  </si>
  <si>
    <t>Scenario screening met opvolg actie</t>
  </si>
  <si>
    <t>Cost for one action;
Kosten van één aktie:</t>
  </si>
  <si>
    <t>Activity term;
Herhalings termijn:</t>
  </si>
  <si>
    <t>Lifetime cost; Kosten over de restlevensduur:</t>
  </si>
  <si>
    <t>Year 31</t>
  </si>
  <si>
    <t>Year 32</t>
  </si>
  <si>
    <t>Year 33</t>
  </si>
  <si>
    <t>Year 34</t>
  </si>
  <si>
    <t>Year 35</t>
  </si>
  <si>
    <t>Year 36</t>
  </si>
  <si>
    <t>Year 37</t>
  </si>
  <si>
    <t>Year 38</t>
  </si>
  <si>
    <t>Year 39</t>
  </si>
  <si>
    <t>Year 40</t>
  </si>
  <si>
    <t>Voor-inspectie</t>
  </si>
  <si>
    <t>Screening NDT LRUT</t>
  </si>
  <si>
    <t>Screening met NDO - Long Range UT (LRUT)</t>
  </si>
  <si>
    <t>Qualification of LRUT for application</t>
  </si>
  <si>
    <t>Kwalificatie van LRUT voor de toepassing (Default: éénmalig voor de restlevensduur)</t>
  </si>
  <si>
    <t>4x12 CML's on bends every 5 years</t>
  </si>
  <si>
    <t>4x12 CML's op bochten, iedere X jaar (Default= 5 jr).</t>
  </si>
  <si>
    <t>5x4 CML's op rechte stukken, iedere X jaar (Default= 5 jr).</t>
  </si>
  <si>
    <t>Follow-up 1 location (moving platform, cleaning, pit-gauge, profile RT)</t>
  </si>
  <si>
    <t>Vervolg meting(verplaatsbaar platform, schoonmaken, schadediepte (put-meting), profiel radiografie</t>
  </si>
  <si>
    <t>Scenario: falen en herstellen</t>
  </si>
  <si>
    <t>CUI developed to leak + repair + damages</t>
  </si>
  <si>
    <t>CUI is doorgegaan tot het niveau van "niets doen" met kans op lekkage + reparatie + schade</t>
  </si>
  <si>
    <t>probability  x  consequence  x  years</t>
  </si>
  <si>
    <t>Safety, loss, repair, pollution of terrain.</t>
  </si>
  <si>
    <t>Veiligheid, derving, reparatie, grond vervuiling</t>
  </si>
  <si>
    <t xml:space="preserve">The term of reference in this scenario is that this cost item is repeated annually and has been converted from the pipeline system to a length of 100 meters. </t>
  </si>
  <si>
    <t>Uitgangspunt in dit scenario is, dat deze kostenpost zich jaarlijks herhaalt en vanuit het leidingsysteem omgerekend is naar 100 meter lengte.</t>
  </si>
  <si>
    <t>Scenario upgrade met uitsluiten van CUI.</t>
  </si>
  <si>
    <t>Upgrade</t>
  </si>
  <si>
    <t>Verbetering / upgrade</t>
  </si>
  <si>
    <t>4x12 CML's on bends every 10 years</t>
  </si>
  <si>
    <t>4x12 CML's op bochten, iedere X jaar (Default= 10 jr).</t>
  </si>
  <si>
    <t>5x4 CML's on straights every 10 years</t>
  </si>
  <si>
    <t>5x4 CML's op rechte stukken, iedere X jaar (Default= 10 jr).</t>
  </si>
  <si>
    <t>Scaffolding 100x4 m3</t>
  </si>
  <si>
    <t>Impact of scenario on likelyhood: from level 4 to level 1</t>
  </si>
  <si>
    <t>Uitgangspunt: Effect van scenario op de kans: van niveau 4 naar niveau 1</t>
  </si>
  <si>
    <t>Scenario upgrade to be CUI exempt</t>
  </si>
  <si>
    <t>Data with respect to the applicable NDT Technque (all per 100 metres):</t>
  </si>
  <si>
    <r>
      <t xml:space="preserve">Gegevens over de toe te passen </t>
    </r>
    <r>
      <rPr>
        <b/>
        <sz val="11"/>
        <color theme="1"/>
        <rFont val="Calibri"/>
        <family val="2"/>
        <scheme val="minor"/>
      </rPr>
      <t>NDT</t>
    </r>
    <r>
      <rPr>
        <sz val="11"/>
        <color theme="1"/>
        <rFont val="Calibri"/>
        <family val="2"/>
        <scheme val="minor"/>
      </rPr>
      <t xml:space="preserve"> Techniek (alles per 100 meter):</t>
    </r>
  </si>
  <si>
    <t>Apply this section:</t>
  </si>
  <si>
    <t>Yes</t>
  </si>
  <si>
    <t>1) Visual inspection with unpacking.</t>
  </si>
  <si>
    <t>Option
NDT</t>
  </si>
  <si>
    <t>Level of detection sensitivity of the NDT technique:</t>
  </si>
  <si>
    <t>Mate van detectie gevoeligheid van NDO techniek:</t>
  </si>
  <si>
    <t>Medium</t>
  </si>
  <si>
    <t xml:space="preserve">Accessibility Threshold (low=Easy Access): </t>
  </si>
  <si>
    <t>Toegankelijkheids drempel (laag=Makkelijke toegang):</t>
  </si>
  <si>
    <t xml:space="preserve">Number of additional measurements per 100 meters of pipe (segment): 5x4 CML's on straights every 5 years </t>
  </si>
  <si>
    <t>Aantal aanvullende metingen per 100 meter leiding (segment): 5x4 CML's on straights every 5 years</t>
  </si>
  <si>
    <t>Follow-up measurement (movable platform, cleaning, damage depth (well measurement), profile radiography:</t>
  </si>
  <si>
    <t>Vervolg meting(verplaatsbaar platform, schoonmaken, schadediepte (put-meting), profiel radiografie:</t>
  </si>
  <si>
    <t xml:space="preserve">Estimated effectiveness of the applied technique with the damage type present (damage "typical"): </t>
  </si>
  <si>
    <r>
      <t xml:space="preserve">Begrote </t>
    </r>
    <r>
      <rPr>
        <b/>
        <sz val="11"/>
        <color theme="1"/>
        <rFont val="Calibri"/>
        <family val="2"/>
        <scheme val="minor"/>
      </rPr>
      <t>effectiviteit</t>
    </r>
    <r>
      <rPr>
        <sz val="11"/>
        <color theme="1"/>
        <rFont val="Calibri"/>
        <family val="2"/>
        <scheme val="minor"/>
      </rPr>
      <t xml:space="preserve"> van de toegepaste techniek met de aanwezige schadevorm (schade "typical"):</t>
    </r>
  </si>
  <si>
    <t>The typical that (based on all insights) is decisive in this situation:</t>
  </si>
  <si>
    <t>De typical die (op basis van alle inzichten) bepalend is in deze situatie:</t>
  </si>
  <si>
    <t>Branches on pipes ≤ DN250</t>
  </si>
  <si>
    <t>Option
Effect</t>
  </si>
  <si>
    <t>Reduction factor: effect of scenario on the probability, based on possible norm failure (possibly Dmin reached):</t>
  </si>
  <si>
    <r>
      <t>Reductiefactor: effect van scenario op de kans, uitgaand van mogelijk normfalen (mogelijk D</t>
    </r>
    <r>
      <rPr>
        <vertAlign val="subscript"/>
        <sz val="11"/>
        <color theme="1"/>
        <rFont val="Calibri"/>
        <family val="2"/>
        <scheme val="minor"/>
      </rPr>
      <t>min</t>
    </r>
    <r>
      <rPr>
        <sz val="11"/>
        <color theme="1"/>
        <rFont val="Calibri"/>
        <family val="2"/>
        <scheme val="minor"/>
      </rPr>
      <t xml:space="preserve"> bereikt):</t>
    </r>
  </si>
  <si>
    <t xml:space="preserve">The effect of charging this option, if selected, on the costs calculated in the [Fault and repair] scenario: </t>
  </si>
  <si>
    <t>Het effect van het doorrekenen van deze optie, indien geselecteerd, op de bij scenario [Storing en reparatie] berekende kosten:</t>
  </si>
  <si>
    <r>
      <t xml:space="preserve">Information on </t>
    </r>
    <r>
      <rPr>
        <b/>
        <sz val="11"/>
        <color theme="1"/>
        <rFont val="Calibri"/>
        <family val="2"/>
        <scheme val="minor"/>
      </rPr>
      <t>required scaffolding equipment</t>
    </r>
    <r>
      <rPr>
        <sz val="11"/>
        <color theme="1"/>
        <rFont val="Calibri"/>
        <family val="2"/>
        <scheme val="minor"/>
      </rPr>
      <t xml:space="preserve"> (everything converted to 100 meters of pipe length):</t>
    </r>
  </si>
  <si>
    <r>
      <t xml:space="preserve">Gegevens over </t>
    </r>
    <r>
      <rPr>
        <b/>
        <sz val="11"/>
        <color theme="1"/>
        <rFont val="Calibri"/>
        <family val="2"/>
        <scheme val="minor"/>
      </rPr>
      <t xml:space="preserve">benodigd steiger materieel </t>
    </r>
    <r>
      <rPr>
        <sz val="11"/>
        <color theme="1"/>
        <rFont val="Calibri"/>
        <family val="2"/>
        <scheme val="minor"/>
      </rPr>
      <t>(alles omgerekend naar 100 meter leidinglengte):</t>
    </r>
  </si>
  <si>
    <t>Scaffold height: Accessibility for CML's 9 x moving platform</t>
  </si>
  <si>
    <t>Hoogte van de steiger: Toegang voor CML's 9 x vanuit verplaatst platform</t>
  </si>
  <si>
    <t>Option
Scaffold</t>
  </si>
  <si>
    <t xml:space="preserve">Scaffold length (as required for per 100 meters of pipe): Accessibility for CML's 9 x moving platform </t>
  </si>
  <si>
    <t>Lengte van de steiger (zoals benodigd voor per 100 meter leiding):  Toegang voor CML's, 9 x langs verplaatst platform</t>
  </si>
  <si>
    <t>Scaffold width:</t>
  </si>
  <si>
    <t>Breedte van de steiger:</t>
  </si>
  <si>
    <t>Length of time of use of the scaffold (2 weeks is standard):</t>
  </si>
  <si>
    <t>Lengte van de tijdsduur van het gebruik van de steiger (2 weken is standaard):</t>
  </si>
  <si>
    <t>Repetition:</t>
  </si>
  <si>
    <t xml:space="preserve">The length of the pipeline is set at 100 meters (is converted into actual length on the [scenarios] tab) </t>
  </si>
  <si>
    <t>Lengte van de leiding is gesteld op 100 meter (wordt op tab [scenario's] omgezet in werkelijke lengte)</t>
  </si>
  <si>
    <r>
      <t xml:space="preserve">Information about </t>
    </r>
    <r>
      <rPr>
        <b/>
        <sz val="11"/>
        <color theme="1"/>
        <rFont val="Calibri"/>
        <family val="2"/>
        <scheme val="minor"/>
      </rPr>
      <t>NEW insulation material</t>
    </r>
    <r>
      <rPr>
        <sz val="11"/>
        <color theme="1"/>
        <rFont val="Calibri"/>
        <family val="2"/>
        <scheme val="minor"/>
      </rPr>
      <t xml:space="preserve"> to be used (do not fill in if material is reused):</t>
    </r>
  </si>
  <si>
    <r>
      <t xml:space="preserve">Gegevens over toe te passen </t>
    </r>
    <r>
      <rPr>
        <b/>
        <sz val="11"/>
        <color theme="1"/>
        <rFont val="Calibri"/>
        <family val="2"/>
        <scheme val="minor"/>
      </rPr>
      <t>NIEUW isolatiemateriaal</t>
    </r>
    <r>
      <rPr>
        <sz val="11"/>
        <color theme="1"/>
        <rFont val="Calibri"/>
        <family val="2"/>
        <scheme val="minor"/>
      </rPr>
      <t xml:space="preserve"> (niet invullen bij hergebruik van materiaal):</t>
    </r>
  </si>
  <si>
    <t>Type of insulation material:</t>
  </si>
  <si>
    <t>Soort van isolatiemateriaal:</t>
  </si>
  <si>
    <t>Heat insulation</t>
  </si>
  <si>
    <t>Option
Insulation</t>
  </si>
  <si>
    <t>Diameter of the pipe to be insulated (outer diameter without insulation, in mm):</t>
  </si>
  <si>
    <t>Diameter van de te isoleren leiding (buitendiameter zonder isolatie, in mm.):</t>
  </si>
  <si>
    <t>Thickness of the insulation layer to be applied (in mm.)</t>
  </si>
  <si>
    <t>Dikte van de toe te passen isolatielaag (in mm.)</t>
  </si>
  <si>
    <t>Replacement:</t>
  </si>
  <si>
    <t>The length of the pipeline is set at 100 meters (actual length is set on the [scenarios] tab)</t>
  </si>
  <si>
    <r>
      <rPr>
        <b/>
        <sz val="11"/>
        <color theme="1"/>
        <rFont val="Calibri"/>
        <family val="2"/>
        <scheme val="minor"/>
      </rPr>
      <t>Sum of the costs over the lifetime</t>
    </r>
    <r>
      <rPr>
        <sz val="11"/>
        <color theme="1"/>
        <rFont val="Calibri"/>
        <family val="2"/>
        <scheme val="minor"/>
      </rPr>
      <t xml:space="preserve"> (excluding capital costs) (revenue = negative number) with options selected: </t>
    </r>
  </si>
  <si>
    <r>
      <rPr>
        <b/>
        <sz val="11"/>
        <color theme="1"/>
        <rFont val="Calibri"/>
        <family val="2"/>
        <scheme val="minor"/>
      </rPr>
      <t>Som van de kosten over de levensduur</t>
    </r>
    <r>
      <rPr>
        <sz val="11"/>
        <color theme="1"/>
        <rFont val="Calibri"/>
        <family val="2"/>
        <scheme val="minor"/>
      </rPr>
      <t xml:space="preserve"> (zonder kapitaallasten) (opbrengst = negatief getal) met geselecteerde opties:</t>
    </r>
  </si>
  <si>
    <t>Data applied in estimation formula's:</t>
  </si>
  <si>
    <t>Basis gegevens voor de kostenschatting:</t>
  </si>
  <si>
    <t>One time</t>
  </si>
  <si>
    <t>Per year (ended for last term)</t>
  </si>
  <si>
    <t>Over life cycle</t>
  </si>
  <si>
    <t>Input:</t>
  </si>
  <si>
    <t>Resultaat</t>
  </si>
  <si>
    <t>Once:</t>
  </si>
  <si>
    <t>Per year (finished before last interval)</t>
  </si>
  <si>
    <t>Over de levensduur</t>
  </si>
  <si>
    <t>Cost of access visual inspection</t>
  </si>
  <si>
    <t>Kosten om toegang te verkrijgen voor visuele inspectie</t>
  </si>
  <si>
    <t>Estimate cost visual inspection program</t>
  </si>
  <si>
    <t>Kosten schatting voor visuele inspectie</t>
  </si>
  <si>
    <t>Cost of access screening inspection</t>
  </si>
  <si>
    <t>Kosten van toegang voor screening inspectie</t>
  </si>
  <si>
    <t>Estimate cost screening inspection program</t>
  </si>
  <si>
    <t>Kosten schatting voor een screening programma</t>
  </si>
  <si>
    <t>Inspection term visual</t>
  </si>
  <si>
    <t>Inspectie termijn visuele insp. (default)</t>
  </si>
  <si>
    <t>Inspection term screening</t>
  </si>
  <si>
    <t>Inspectie termijn screening insp. (default)</t>
  </si>
  <si>
    <r>
      <t xml:space="preserve">Explanation: </t>
    </r>
    <r>
      <rPr>
        <sz val="11"/>
        <color theme="1"/>
        <rFont val="Calibri"/>
        <family val="2"/>
        <scheme val="minor"/>
      </rPr>
      <t>These data serve as the basis for the cost estimate.</t>
    </r>
  </si>
  <si>
    <t>Cost percentage NDT in inspection plan</t>
  </si>
  <si>
    <t>Kosten percentage van NDO tov het totale plan</t>
  </si>
  <si>
    <r>
      <rPr>
        <sz val="11"/>
        <color rgb="FFFF0000"/>
        <rFont val="Calibri"/>
        <family val="2"/>
        <scheme val="minor"/>
      </rPr>
      <t xml:space="preserve">Visual inspection </t>
    </r>
    <r>
      <rPr>
        <sz val="11"/>
        <color theme="1"/>
        <rFont val="Calibri"/>
        <family val="2"/>
        <scheme val="minor"/>
      </rPr>
      <t xml:space="preserve">means: inspection externally unclad (i.e. insulation removed; scaffolding required) </t>
    </r>
  </si>
  <si>
    <t>Remaining life time</t>
  </si>
  <si>
    <t>Restlevensduur</t>
  </si>
  <si>
    <r>
      <rPr>
        <sz val="11"/>
        <color rgb="FFFF0000"/>
        <rFont val="Calibri"/>
        <family val="2"/>
        <scheme val="minor"/>
      </rPr>
      <t>Screening inspection</t>
    </r>
    <r>
      <rPr>
        <sz val="11"/>
        <color theme="1"/>
        <rFont val="Calibri"/>
        <family val="2"/>
        <scheme val="minor"/>
      </rPr>
      <t xml:space="preserve"> means: inspection while using NDT technology (no scaffolding required). </t>
    </r>
  </si>
  <si>
    <t>In this tool the next sources of information have been used:</t>
  </si>
  <si>
    <t>Ref.#:</t>
  </si>
  <si>
    <t>Source:</t>
  </si>
  <si>
    <t>Date:</t>
  </si>
  <si>
    <t>File:</t>
  </si>
  <si>
    <t>Remark:</t>
  </si>
  <si>
    <t>TNO_Cost of Inspection Rev. 10</t>
  </si>
  <si>
    <t>Nov. 2006.</t>
  </si>
  <si>
    <t>TNO_Cost of inspection rev 10.xls</t>
  </si>
  <si>
    <r>
      <t>Concerns cost calculation based on m² and processing speed in m</t>
    </r>
    <r>
      <rPr>
        <sz val="11"/>
        <color theme="1"/>
        <rFont val="Trebuchet MS"/>
        <family val="2"/>
      </rPr>
      <t>²</t>
    </r>
    <r>
      <rPr>
        <sz val="11"/>
        <color theme="1"/>
        <rFont val="Calibri"/>
        <family val="2"/>
        <scheme val="minor"/>
      </rPr>
      <t xml:space="preserve">/day.
Data has been compared with costs in 2019; appear to be representative. </t>
    </r>
  </si>
  <si>
    <t>TNO_Costs of Scaffolding and Insulation v4</t>
  </si>
  <si>
    <t>Okt. 2006</t>
  </si>
  <si>
    <t>TNO_Costs of Scaffolding and Insulation v4.xls</t>
  </si>
  <si>
    <t>Concerns cost calculation based on m³ and duration of use with m³ x number of days.
Includes inflation correction.
Data has been compared with costs in 2019; turn out to be representative with inflation % = 8%.</t>
  </si>
  <si>
    <t>Technique:</t>
  </si>
  <si>
    <t>Update 13 November 2019.</t>
  </si>
  <si>
    <t>Costs (Sources: see Ref.):</t>
  </si>
  <si>
    <t>Applied method:</t>
  </si>
  <si>
    <t xml:space="preserve">A technique has a certain chance of detecting damage.
After assessment, if there is reason to do so, a second assessment follows, in which the condition is assessed by means of wall thickness measurements.
The reliability of that (follow-up) assessment is not included here, since in that case the insulation has already been removed locally; the effectiveness of "seeing through the insulation" is then no longer an issue. </t>
  </si>
  <si>
    <t>2) On-stream RT (Film)</t>
  </si>
  <si>
    <t>3) On streamRT (digital)</t>
  </si>
  <si>
    <t>4) Profile radiography</t>
  </si>
  <si>
    <t>5) Guided Waves / Long Range UT</t>
  </si>
  <si>
    <t>6) PEC / PEC Array</t>
  </si>
  <si>
    <t>7) In-line inspection (intelligent pigging)</t>
  </si>
  <si>
    <t>8) Ultrasonic wall thickness measurement</t>
  </si>
  <si>
    <t>9) UT C scan mapping</t>
  </si>
  <si>
    <t>10) Thermography</t>
  </si>
  <si>
    <t>11) Neuron Backscatter (for moisture detection)</t>
  </si>
  <si>
    <t>Typical:</t>
  </si>
  <si>
    <t>Remark (wrt typical for technique):</t>
  </si>
  <si>
    <t>The above costs have been estimated on the basis of 100 metres length.</t>
  </si>
  <si>
    <t>Branches on pipes &gt; DN250 and on vessel walls</t>
  </si>
  <si>
    <t>A</t>
  </si>
  <si>
    <t>B</t>
  </si>
  <si>
    <t>C</t>
  </si>
  <si>
    <t>D</t>
  </si>
  <si>
    <t>Fire-resistant cladding in general</t>
  </si>
  <si>
    <t>E</t>
  </si>
  <si>
    <t>Imposition/Support (*)</t>
  </si>
  <si>
    <t>Straight pipes &gt; DN250 and vessel walls</t>
  </si>
  <si>
    <r>
      <t xml:space="preserve">1): by means of corrosion product on support (assumed </t>
    </r>
    <r>
      <rPr>
        <sz val="10"/>
        <color theme="1"/>
        <rFont val="Wingdings 3"/>
        <family val="1"/>
        <charset val="2"/>
      </rPr>
      <t>Ó</t>
    </r>
    <r>
      <rPr>
        <sz val="11"/>
        <color theme="1"/>
        <rFont val="Calibri"/>
        <family val="2"/>
        <scheme val="minor"/>
      </rPr>
      <t>)</t>
    </r>
  </si>
  <si>
    <t>Straight pipes ≤ DN250</t>
  </si>
  <si>
    <t>(*): the valuation strongly depends on the type of support</t>
  </si>
  <si>
    <t>Note (regarding technique in relation to typical(s))</t>
  </si>
  <si>
    <t>Failure criterion:</t>
  </si>
  <si>
    <r>
      <t xml:space="preserve">Score concerns DAMAGE detection.
</t>
    </r>
    <r>
      <rPr>
        <sz val="10"/>
        <color rgb="FFFF0000"/>
        <rFont val="Trebuchet MS"/>
        <family val="2"/>
      </rPr>
      <t>Effectiveness score for moisture detection (!preventive!) tbd.</t>
    </r>
  </si>
  <si>
    <t>Achieving the minimum allowable wall thickness, which creates a risk of perforation and possibly a catastrophic fracture.</t>
  </si>
  <si>
    <r>
      <t xml:space="preserve">Concerns damage detection.
</t>
    </r>
    <r>
      <rPr>
        <sz val="10"/>
        <color rgb="FFFF0000"/>
        <rFont val="Trebuchet MS"/>
        <family val="2"/>
      </rPr>
      <t>Moisture detection effectiveness score to be determined (tbc).</t>
    </r>
  </si>
  <si>
    <t>Depending on the type of process, the consequences vary.</t>
  </si>
  <si>
    <t>The extent to which the risk reduction to be achieved with a technique is sufficient will then have to be examined in the specific business situation.</t>
  </si>
  <si>
    <t>Basic principles in terms of coverage:</t>
  </si>
  <si>
    <t>For the coverage of the surface when applying a technique, 100% visual inspection is assumed to determine "hot spots" (risk areas), in addition in the case of the following effectiveness categories:
The next percentages are related to coverage of the hot spots:
Cat.A: 100%; B: &gt;65%; C: &gt;35%; D: &gt; 5%.</t>
  </si>
  <si>
    <t>DDR = "Direct Digital Recording", so with the use of digital technology.</t>
  </si>
  <si>
    <t>C is "Contour", so with a scan all around.</t>
  </si>
  <si>
    <t>RT is "Radiographic Technique", so using a radiation source.</t>
  </si>
  <si>
    <t>"with or without unpacking"; ensure the difference is clear.</t>
  </si>
  <si>
    <t>Starting point; terms of reference:</t>
  </si>
  <si>
    <t>At moment T, the period of use is such that in the given circumstances the condition of the insulated component could be affected by corrosion to such an extent that failure is imminent or "normative failure" if it has occurred (the minimum wall thickness is no longer met). requirement met).</t>
  </si>
  <si>
    <t>What is the reduction in that PoF with a technique used?</t>
  </si>
  <si>
    <t>NDT Technique:</t>
  </si>
  <si>
    <t>Reduction factor for the probability of failure:</t>
  </si>
  <si>
    <t>&gt;&gt; This concerns one location that has been assessed.</t>
  </si>
  <si>
    <t>Degree of detection sensitivity of NDT technique:</t>
  </si>
  <si>
    <t>&lt;&lt; Sensitivity as applicable for the relevant technique.</t>
  </si>
  <si>
    <t>Accessibility threshold (low=Easy access):</t>
  </si>
  <si>
    <t>&lt;&lt; The ease with which the location to be inspected can be reached (at component level).</t>
  </si>
  <si>
    <t>Applied level of coverage (%  "hot spots") measured:</t>
  </si>
  <si>
    <t>Probability on false calls (false positives):</t>
  </si>
  <si>
    <t>Assumption: Deviation is permissible (otherwise it is "not good anyway")</t>
  </si>
  <si>
    <t>Reference table:</t>
  </si>
  <si>
    <t>Eff. class:</t>
  </si>
  <si>
    <t>Red.factor:</t>
  </si>
  <si>
    <t>Coverage:</t>
  </si>
  <si>
    <t xml:space="preserve">
</t>
  </si>
  <si>
    <t>Separation tab for underlying cost calculation.</t>
  </si>
  <si>
    <t>This is a separation sheet to used underlying information.</t>
  </si>
  <si>
    <t>From the tabs in front of this, reference is made to the tabs behind it.</t>
  </si>
  <si>
    <t>The reference information that has been used is recorded in the underlying pages.</t>
  </si>
  <si>
    <t>This only concerns the case when using a custom NDT approach.</t>
  </si>
  <si>
    <t xml:space="preserve">The data for that approach is recorded in the lower part of the [Scenarios] tab. </t>
  </si>
  <si>
    <t>Elaboration: Workgroup NDT Effectivity.</t>
  </si>
  <si>
    <t>CALCULATION OF THE COSTS OF SCAFFOLDING AND INSULATION (Heat or cold insulation).</t>
  </si>
  <si>
    <t>BEREKENING KOSTEN VAN STEIGERBOUW EN ISOLATIE (Warmte- of koude-isolatie).</t>
  </si>
  <si>
    <t>INPUT</t>
  </si>
  <si>
    <t>OUTPUT</t>
  </si>
  <si>
    <t>Resulting floor area:</t>
  </si>
  <si>
    <r>
      <t>m</t>
    </r>
    <r>
      <rPr>
        <sz val="10"/>
        <rFont val="Trebuchet MS"/>
        <family val="2"/>
      </rPr>
      <t>²</t>
    </r>
  </si>
  <si>
    <t>(7)</t>
  </si>
  <si>
    <t>Height:</t>
  </si>
  <si>
    <t>(metre)</t>
  </si>
  <si>
    <t>(1)(2)</t>
  </si>
  <si>
    <t>Length:</t>
  </si>
  <si>
    <t>(1)</t>
  </si>
  <si>
    <t>1.</t>
  </si>
  <si>
    <t>euro</t>
  </si>
  <si>
    <t>(8)</t>
  </si>
  <si>
    <t>Width:</t>
  </si>
  <si>
    <t>2.</t>
  </si>
  <si>
    <t>Costs if job takes &gt; 2 weeks:</t>
  </si>
  <si>
    <t>(9)</t>
  </si>
  <si>
    <t>Total time of use:</t>
  </si>
  <si>
    <t>(weeks)</t>
  </si>
  <si>
    <t>(1)(3)</t>
  </si>
  <si>
    <t>3.</t>
  </si>
  <si>
    <t>Indexated costs:</t>
  </si>
  <si>
    <t>Current calendar year (4):</t>
  </si>
  <si>
    <t>Inflation rate (5):</t>
  </si>
  <si>
    <t>per year.</t>
  </si>
  <si>
    <t>Year of source data (6):</t>
  </si>
  <si>
    <t>(1): Specify in rounded numbers</t>
  </si>
  <si>
    <r>
      <t>(7): The resulting floor area should not exceed 36 m</t>
    </r>
    <r>
      <rPr>
        <sz val="10"/>
        <rFont val="Trebuchet MS"/>
        <family val="2"/>
      </rPr>
      <t>²</t>
    </r>
  </si>
  <si>
    <t>(2): Specify in the range 1 - 30 meter</t>
  </si>
  <si>
    <t>(8): These costs refer to jobs taking less than 2 weeks</t>
  </si>
  <si>
    <t>(3): Specify to account for extra renting costs if duration &gt; 2 weeks</t>
  </si>
  <si>
    <t>(9): These costs refer to jobs taking more than 2 weeks</t>
  </si>
  <si>
    <t>(4): Specify to take account of inflation</t>
  </si>
  <si>
    <t>(5): Average inflation rate since the year of source data (6)</t>
  </si>
  <si>
    <t>(6): This is the year to which the source data are related.</t>
  </si>
  <si>
    <t>COSTS  OF  INSULATION</t>
  </si>
  <si>
    <t>HOT INSULATION:</t>
  </si>
  <si>
    <t>If not applicable, then set Length= 0 meter</t>
  </si>
  <si>
    <t>Diameter:</t>
  </si>
  <si>
    <t>mm.</t>
  </si>
  <si>
    <t>(2)</t>
  </si>
  <si>
    <t>Thickness insulation:</t>
  </si>
  <si>
    <t>(3)</t>
  </si>
  <si>
    <t>COLD INSULATION:</t>
  </si>
  <si>
    <t>(4)</t>
  </si>
  <si>
    <t>(5)</t>
  </si>
  <si>
    <t>Current calendar year (6):</t>
  </si>
  <si>
    <t>Inflation rate (7):</t>
  </si>
  <si>
    <t>Year of source data (8):</t>
  </si>
  <si>
    <t>(1): Specify in the range 10 - 900 mm</t>
  </si>
  <si>
    <t>(2): Specify in rounded numbers</t>
  </si>
  <si>
    <t>(3): Specify in the range 30 - 280 mm. with 10 mm. intervals</t>
  </si>
  <si>
    <t>(4): Specify in the range 20 - 600 mm</t>
  </si>
  <si>
    <t>(5): Specify in the range 25 - 150 mm</t>
  </si>
  <si>
    <t>(6): Specify to take account of inflation</t>
  </si>
  <si>
    <t>(7): Average inflation rate since the year of source data (6)</t>
  </si>
  <si>
    <t>(8): This is the year to which the source data are related.</t>
  </si>
  <si>
    <t>PRICES INSULATION WORK IN EURO</t>
  </si>
  <si>
    <t>BASE PRICE PER METER PIPING</t>
  </si>
  <si>
    <t>Supply and mounting of new insulation (with Aluminum sheeting for warm insulation)</t>
  </si>
  <si>
    <t>Search value Diameter</t>
  </si>
  <si>
    <t>and resulting row number:</t>
  </si>
  <si>
    <t>Search value Thickness</t>
  </si>
  <si>
    <t>and resulting column  number:</t>
  </si>
  <si>
    <t>Resulting price:</t>
  </si>
  <si>
    <t>THICKNESS</t>
  </si>
  <si>
    <t>DIAM</t>
  </si>
  <si>
    <t>PRICES SCAFFOLDING IN EURO</t>
  </si>
  <si>
    <t>BASE PRICE INCLUDING 2 WEEKS RENT</t>
  </si>
  <si>
    <t>20-04-2004</t>
  </si>
  <si>
    <t>HEIGHT</t>
  </si>
  <si>
    <t>FLOOR AREA  IN M2</t>
  </si>
  <si>
    <t>M</t>
  </si>
  <si>
    <t xml:space="preserve"> </t>
  </si>
  <si>
    <t>PRICES FOR ADDITIONAL RENT PER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</si>
</sst>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0&quot; m.&quot;"/>
    <numFmt numFmtId="165" formatCode="#,##0&quot; mm.&quot;"/>
    <numFmt numFmtId="166" formatCode="0&quot; mm.&quot;"/>
    <numFmt numFmtId="167" formatCode="&quot;Scenario: &quot;@"/>
    <numFmt numFmtId="168" formatCode="#,##0&quot; €&quot;"/>
    <numFmt numFmtId="169" formatCode="0&quot; Jr.&quot;"/>
    <numFmt numFmtId="170" formatCode="0&quot; m.&quot;"/>
    <numFmt numFmtId="171" formatCode="#,##0&quot;€ &quot;"/>
    <numFmt numFmtId="172" formatCode="#,##0&quot; €.&quot;"/>
    <numFmt numFmtId="173" formatCode="&quot;Ref. &quot;0"/>
    <numFmt numFmtId="174" formatCode="0.0&quot;%&quot;"/>
    <numFmt numFmtId="175" formatCode="0&quot; w.&quot;"/>
    <numFmt numFmtId="176" formatCode="0&quot; €/m.&quot;"/>
    <numFmt numFmtId="177" formatCode="#,##0.00_ &quot;€/m.&quot;;[Red]\-#,##0.00\ &quot;€/m.&quot;"/>
    <numFmt numFmtId="178" formatCode="0.0%"/>
    <numFmt numFmtId="179" formatCode="0.0"/>
    <numFmt numFmtId="180" formatCode="&quot;Mate van detectie gevoeligheid van NDO techniek: &quot;@"/>
    <numFmt numFmtId="181" formatCode="&quot;Toegankelijkheids drempel (laag=Makkelijke toegang): &quot;@"/>
    <numFmt numFmtId="182" formatCode="#,##0&quot; week/weken&quot;"/>
    <numFmt numFmtId="183" formatCode="#,##0&quot; mm&quot;"/>
    <numFmt numFmtId="184" formatCode="#,##0_ &quot; €&quot;;[Red]\-#,##0\ &quot; €&quot;"/>
    <numFmt numFmtId="185" formatCode="&quot;Max. &quot;#,##0&quot; k€&quot;"/>
    <numFmt numFmtId="186" formatCode="#,##0&quot; €/segment&quot;"/>
    <numFmt numFmtId="187" formatCode="&quot;Line: &quot;@"/>
    <numFmt numFmtId="188" formatCode="#,##0&quot; €/yr.&quot;"/>
    <numFmt numFmtId="189" formatCode="#,##0&quot; years&quot;"/>
    <numFmt numFmtId="190" formatCode="0.0&quot; mm/yr.&quot;"/>
    <numFmt numFmtId="191" formatCode="&quot;Total: row: &quot;#,##0"/>
    <numFmt numFmtId="192" formatCode="&quot;Prob-Cat. &quot;0"/>
    <numFmt numFmtId="193" formatCode="&quot;Cons-Cat. &quot;0"/>
    <numFmt numFmtId="194" formatCode="0&quot; Yr.&quot;"/>
  </numFmts>
  <fonts count="58">
    <font>
      <sz val="11"/>
      <color theme="1"/>
      <name val="Calibri"/>
      <family val="2"/>
      <scheme val="minor"/>
    </font>
    <font>
      <sz val="10"/>
      <color theme="1"/>
      <name val="Trebuchet MS"/>
      <family val="2"/>
    </font>
    <font>
      <sz val="10"/>
      <color theme="1"/>
      <name val="Trebuchet MS"/>
      <family val="2"/>
    </font>
    <font>
      <sz val="10"/>
      <color theme="1"/>
      <name val="Trebuchet MS"/>
      <family val="2"/>
    </font>
    <font>
      <sz val="10"/>
      <color theme="1"/>
      <name val="Trebuchet MS"/>
      <family val="2"/>
    </font>
    <font>
      <b/>
      <sz val="11"/>
      <color theme="1"/>
      <name val="Calibri"/>
      <family val="2"/>
      <scheme val="minor"/>
    </font>
    <font>
      <sz val="11"/>
      <color theme="1"/>
      <name val="Calibri"/>
      <family val="2"/>
      <scheme val="minor"/>
    </font>
    <font>
      <sz val="11"/>
      <color theme="1"/>
      <name val="Trebuchet MS"/>
      <family val="2"/>
    </font>
    <font>
      <b/>
      <sz val="14"/>
      <color theme="1"/>
      <name val="Calibri"/>
      <family val="2"/>
      <scheme val="minor"/>
    </font>
    <font>
      <i/>
      <sz val="10"/>
      <color theme="1"/>
      <name val="Calibri"/>
      <family val="2"/>
      <scheme val="minor"/>
    </font>
    <font>
      <sz val="10"/>
      <color rgb="FF3F3F76"/>
      <name val="Trebuchet MS"/>
      <family val="2"/>
    </font>
    <font>
      <b/>
      <sz val="10"/>
      <color rgb="FF3F3F3F"/>
      <name val="Trebuchet MS"/>
      <family val="2"/>
    </font>
    <font>
      <b/>
      <sz val="10"/>
      <color theme="1"/>
      <name val="Trebuchet MS"/>
      <family val="2"/>
    </font>
    <font>
      <sz val="10"/>
      <color theme="0"/>
      <name val="Trebuchet MS"/>
      <family val="2"/>
    </font>
    <font>
      <i/>
      <sz val="11"/>
      <color theme="1"/>
      <name val="Calibri"/>
      <family val="2"/>
      <scheme val="minor"/>
    </font>
    <font>
      <sz val="8"/>
      <color theme="1"/>
      <name val="Calibri"/>
      <family val="2"/>
      <scheme val="minor"/>
    </font>
    <font>
      <b/>
      <sz val="12"/>
      <color theme="1"/>
      <name val="Calibri"/>
      <family val="2"/>
      <scheme val="minor"/>
    </font>
    <font>
      <b/>
      <sz val="20"/>
      <color theme="1"/>
      <name val="Trebuchet MS"/>
      <family val="2"/>
    </font>
    <font>
      <sz val="9"/>
      <color theme="1"/>
      <name val="Trebuchet MS"/>
      <family val="2"/>
    </font>
    <font>
      <sz val="10"/>
      <name val="Trebuchet MS"/>
      <family val="2"/>
    </font>
    <font>
      <i/>
      <sz val="10"/>
      <color theme="1"/>
      <name val="Trebuchet MS"/>
      <family val="2"/>
    </font>
    <font>
      <sz val="10"/>
      <name val="Arial"/>
      <family val="2"/>
    </font>
    <font>
      <b/>
      <sz val="10"/>
      <name val="Arial"/>
      <family val="2"/>
    </font>
    <font>
      <b/>
      <sz val="10"/>
      <color indexed="10"/>
      <name val="Arial"/>
      <family val="2"/>
    </font>
    <font>
      <sz val="9"/>
      <color indexed="8"/>
      <name val="Arial"/>
      <family val="2"/>
    </font>
    <font>
      <b/>
      <sz val="10"/>
      <color indexed="8"/>
      <name val="Arial"/>
      <family val="2"/>
    </font>
    <font>
      <sz val="12"/>
      <name val="Arial"/>
      <family val="2"/>
    </font>
    <font>
      <sz val="12"/>
      <color indexed="8"/>
      <name val="Arial"/>
      <family val="2"/>
    </font>
    <font>
      <sz val="10"/>
      <color indexed="10"/>
      <name val="Arial"/>
      <family val="2"/>
    </font>
    <font>
      <sz val="11"/>
      <name val="Arial"/>
      <family val="2"/>
    </font>
    <font>
      <sz val="12"/>
      <color indexed="10"/>
      <name val="Arial"/>
      <family val="2"/>
    </font>
    <font>
      <sz val="10"/>
      <color indexed="12"/>
      <name val="Arial"/>
      <family val="2"/>
    </font>
    <font>
      <sz val="11"/>
      <color indexed="10"/>
      <name val="Arial"/>
      <family val="2"/>
    </font>
    <font>
      <sz val="9"/>
      <name val="Arial"/>
      <family val="2"/>
    </font>
    <font>
      <sz val="8"/>
      <name val="Arial"/>
      <family val="2"/>
    </font>
    <font>
      <sz val="9"/>
      <color indexed="10"/>
      <name val="Arial"/>
      <family val="2"/>
    </font>
    <font>
      <b/>
      <sz val="11"/>
      <name val="Arial"/>
      <family val="2"/>
    </font>
    <font>
      <b/>
      <sz val="10"/>
      <color indexed="12"/>
      <name val="Arial"/>
      <family val="2"/>
    </font>
    <font>
      <b/>
      <sz val="9"/>
      <color indexed="8"/>
      <name val="Arial"/>
      <family val="2"/>
    </font>
    <font>
      <sz val="8"/>
      <color indexed="8"/>
      <name val="Arial"/>
      <family val="2"/>
    </font>
    <font>
      <b/>
      <sz val="9"/>
      <name val="Arial"/>
      <family val="2"/>
    </font>
    <font>
      <b/>
      <sz val="14"/>
      <name val="Arial"/>
      <family val="2"/>
    </font>
    <font>
      <b/>
      <sz val="10"/>
      <color rgb="FF000000"/>
      <name val="Trebuchet MS"/>
      <family val="2"/>
    </font>
    <font>
      <sz val="10"/>
      <color rgb="FF000000"/>
      <name val="Trebuchet MS"/>
      <family val="2"/>
    </font>
    <font>
      <sz val="10"/>
      <color theme="1"/>
      <name val="Wingdings 3"/>
      <family val="1"/>
      <charset val="2"/>
    </font>
    <font>
      <b/>
      <sz val="10"/>
      <color rgb="FFFF0000"/>
      <name val="Trebuchet MS"/>
      <family val="2"/>
    </font>
    <font>
      <b/>
      <sz val="9"/>
      <color indexed="81"/>
      <name val="Tahoma"/>
      <family val="2"/>
    </font>
    <font>
      <sz val="9"/>
      <color indexed="81"/>
      <name val="Tahoma"/>
      <family val="2"/>
    </font>
    <font>
      <sz val="10"/>
      <color theme="1" tint="0.499984740745262"/>
      <name val="Trebuchet MS"/>
      <family val="2"/>
    </font>
    <font>
      <vertAlign val="subscript"/>
      <sz val="11"/>
      <color theme="1"/>
      <name val="Calibri"/>
      <family val="2"/>
      <scheme val="minor"/>
    </font>
    <font>
      <sz val="9"/>
      <color indexed="81"/>
      <name val="Tahoma"/>
      <charset val="1"/>
    </font>
    <font>
      <b/>
      <sz val="9"/>
      <color indexed="81"/>
      <name val="Tahoma"/>
      <charset val="1"/>
    </font>
    <font>
      <sz val="11"/>
      <name val="Calibri"/>
      <family val="2"/>
      <scheme val="minor"/>
    </font>
    <font>
      <sz val="10"/>
      <color theme="1"/>
      <name val="Calibri"/>
      <family val="2"/>
      <scheme val="minor"/>
    </font>
    <font>
      <sz val="10"/>
      <color rgb="FFFF0000"/>
      <name val="Trebuchet MS"/>
      <family val="2"/>
    </font>
    <font>
      <sz val="11"/>
      <color rgb="FF3F3F76"/>
      <name val="Calibri"/>
      <family val="2"/>
      <scheme val="minor"/>
    </font>
    <font>
      <sz val="11"/>
      <color rgb="FFFF0000"/>
      <name val="Calibri"/>
      <family val="2"/>
      <scheme val="minor"/>
    </font>
    <font>
      <b/>
      <sz val="12"/>
      <color theme="1"/>
      <name val="Trebuchet MS"/>
      <family val="2"/>
    </font>
  </fonts>
  <fills count="28">
    <fill>
      <patternFill patternType="none"/>
    </fill>
    <fill>
      <patternFill patternType="gray125"/>
    </fill>
    <fill>
      <gradientFill degree="90">
        <stop position="0">
          <color theme="0"/>
        </stop>
        <stop position="1">
          <color theme="0" tint="-0.1490218817712943"/>
        </stop>
      </gradientFill>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gradientFill degree="270">
        <stop position="0">
          <color theme="4" tint="0.80001220740379042"/>
        </stop>
        <stop position="1">
          <color theme="4"/>
        </stop>
      </gradientFill>
    </fill>
    <fill>
      <patternFill patternType="solid">
        <fgColor rgb="FFFFCC99"/>
        <bgColor indexed="64"/>
      </patternFill>
    </fill>
    <fill>
      <patternFill patternType="solid">
        <fgColor rgb="FFE6E6E6"/>
        <bgColor indexed="64"/>
      </patternFill>
    </fill>
    <fill>
      <patternFill patternType="solid">
        <fgColor theme="4" tint="-0.249977111117893"/>
        <bgColor indexed="64"/>
      </patternFill>
    </fill>
    <fill>
      <patternFill patternType="solid">
        <fgColor rgb="FFF2F2F2"/>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rgb="FFE4E4E4"/>
        <bgColor indexed="64"/>
      </patternFill>
    </fill>
    <fill>
      <gradientFill degree="90">
        <stop position="0">
          <color rgb="FFF2F2F2"/>
        </stop>
        <stop position="1">
          <color theme="4"/>
        </stop>
      </gradientFill>
    </fill>
    <fill>
      <patternFill patternType="solid">
        <fgColor theme="0" tint="-4.9989318521683403E-2"/>
        <bgColor indexed="64"/>
      </patternFill>
    </fill>
    <fill>
      <patternFill patternType="solid">
        <fgColor rgb="FFE4D0B2"/>
        <bgColor indexed="64"/>
      </patternFill>
    </fill>
    <fill>
      <gradientFill degree="180">
        <stop position="0">
          <color theme="0"/>
        </stop>
        <stop position="1">
          <color rgb="FFFFFF00"/>
        </stop>
      </gradientFill>
    </fill>
    <fill>
      <gradientFill type="path">
        <stop position="0">
          <color rgb="FFFFFF00"/>
        </stop>
        <stop position="1">
          <color theme="0"/>
        </stop>
      </gradientFill>
    </fill>
    <fill>
      <patternFill patternType="solid">
        <fgColor rgb="FFFFE6CD"/>
        <bgColor indexed="64"/>
      </patternFill>
    </fill>
    <fill>
      <gradientFill type="path" left="1" right="1">
        <stop position="0">
          <color rgb="FFE4CAB6"/>
        </stop>
        <stop position="1">
          <color theme="0"/>
        </stop>
      </gradientFill>
    </fill>
    <fill>
      <gradientFill type="path">
        <stop position="0">
          <color rgb="FFE4CAB6"/>
        </stop>
        <stop position="1">
          <color theme="0"/>
        </stop>
      </gradientFill>
    </fill>
    <fill>
      <gradientFill degree="270">
        <stop position="0">
          <color theme="0"/>
        </stop>
        <stop position="1">
          <color rgb="FFE4CAB6"/>
        </stop>
      </gradientFill>
    </fill>
    <fill>
      <patternFill patternType="solid">
        <fgColor rgb="FFFAE6CD"/>
        <bgColor indexed="64"/>
      </patternFill>
    </fill>
    <fill>
      <gradientFill degree="90">
        <stop position="0">
          <color rgb="FFFAE6CD"/>
        </stop>
        <stop position="1">
          <color theme="0" tint="-0.1490218817712943"/>
        </stop>
      </gradientFill>
    </fill>
  </fills>
  <borders count="91">
    <border>
      <left/>
      <right/>
      <top/>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auto="1"/>
      </bottom>
      <diagonal/>
    </border>
    <border>
      <left/>
      <right/>
      <top style="thin">
        <color auto="1"/>
      </top>
      <bottom style="thin">
        <color auto="1"/>
      </bottom>
      <diagonal/>
    </border>
    <border>
      <left/>
      <right/>
      <top style="medium">
        <color auto="1"/>
      </top>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style="hair">
        <color auto="1"/>
      </top>
      <bottom/>
      <diagonal/>
    </border>
    <border>
      <left style="medium">
        <color auto="1"/>
      </left>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medium">
        <color auto="1"/>
      </right>
      <top style="thin">
        <color rgb="FF7F7F7F"/>
      </top>
      <bottom style="thin">
        <color rgb="FF7F7F7F"/>
      </bottom>
      <diagonal/>
    </border>
    <border>
      <left style="medium">
        <color theme="8" tint="0.39994506668294322"/>
      </left>
      <right/>
      <top style="medium">
        <color theme="8" tint="0.39994506668294322"/>
      </top>
      <bottom/>
      <diagonal/>
    </border>
    <border>
      <left/>
      <right/>
      <top style="medium">
        <color theme="8" tint="0.39994506668294322"/>
      </top>
      <bottom/>
      <diagonal/>
    </border>
    <border>
      <left/>
      <right style="medium">
        <color theme="8" tint="-0.499984740745262"/>
      </right>
      <top style="medium">
        <color theme="8" tint="0.39994506668294322"/>
      </top>
      <bottom/>
      <diagonal/>
    </border>
    <border>
      <left style="medium">
        <color theme="8" tint="0.39994506668294322"/>
      </left>
      <right/>
      <top/>
      <bottom/>
      <diagonal/>
    </border>
    <border>
      <left/>
      <right/>
      <top/>
      <bottom style="medium">
        <color theme="8" tint="-0.499984740745262"/>
      </bottom>
      <diagonal/>
    </border>
    <border>
      <left/>
      <right style="medium">
        <color theme="8" tint="-0.499984740745262"/>
      </right>
      <top/>
      <bottom/>
      <diagonal/>
    </border>
    <border>
      <left style="medium">
        <color theme="8" tint="0.39994506668294322"/>
      </left>
      <right style="medium">
        <color theme="8" tint="-0.499984740745262"/>
      </right>
      <top/>
      <bottom/>
      <diagonal/>
    </border>
    <border>
      <left style="medium">
        <color theme="8" tint="0.39994506668294322"/>
      </left>
      <right/>
      <top/>
      <bottom style="medium">
        <color theme="8" tint="-0.499984740745262"/>
      </bottom>
      <diagonal/>
    </border>
    <border>
      <left/>
      <right style="medium">
        <color theme="8" tint="-0.499984740745262"/>
      </right>
      <top/>
      <bottom style="medium">
        <color theme="8" tint="-0.499984740745262"/>
      </bottom>
      <diagonal/>
    </border>
    <border>
      <left style="thin">
        <color rgb="FF3F3F3F"/>
      </left>
      <right style="medium">
        <color auto="1"/>
      </right>
      <top style="thin">
        <color rgb="FF7F7F7F"/>
      </top>
      <bottom style="medium">
        <color auto="1"/>
      </bottom>
      <diagonal/>
    </border>
    <border>
      <left style="thin">
        <color rgb="FF7F7F7F"/>
      </left>
      <right/>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bottom/>
      <diagonal/>
    </border>
    <border diagonalUp="1" diagonalDown="1">
      <left/>
      <right/>
      <top/>
      <bottom/>
      <diagonal style="thin">
        <color theme="0" tint="-0.34998626667073579"/>
      </diagonal>
    </border>
    <border>
      <left/>
      <right style="medium">
        <color auto="1"/>
      </right>
      <top/>
      <bottom style="medium">
        <color auto="1"/>
      </bottom>
      <diagonal/>
    </border>
    <border>
      <left/>
      <right/>
      <top style="medium">
        <color auto="1"/>
      </top>
      <bottom style="thin">
        <color rgb="FF7F7F7F"/>
      </bottom>
      <diagonal/>
    </border>
    <border>
      <left/>
      <right style="medium">
        <color auto="1"/>
      </right>
      <top style="medium">
        <color auto="1"/>
      </top>
      <bottom style="thin">
        <color rgb="FF7F7F7F"/>
      </bottom>
      <diagonal/>
    </border>
    <border>
      <left/>
      <right/>
      <top style="thin">
        <color rgb="FF7F7F7F"/>
      </top>
      <bottom style="thin">
        <color rgb="FF7F7F7F"/>
      </bottom>
      <diagonal/>
    </border>
    <border>
      <left/>
      <right style="medium">
        <color auto="1"/>
      </right>
      <top style="thin">
        <color rgb="FF7F7F7F"/>
      </top>
      <bottom style="thin">
        <color rgb="FF7F7F7F"/>
      </bottom>
      <diagonal/>
    </border>
    <border>
      <left/>
      <right/>
      <top style="thin">
        <color rgb="FF7F7F7F"/>
      </top>
      <bottom style="medium">
        <color auto="1"/>
      </bottom>
      <diagonal/>
    </border>
    <border>
      <left/>
      <right style="medium">
        <color auto="1"/>
      </right>
      <top style="thin">
        <color rgb="FF7F7F7F"/>
      </top>
      <bottom/>
      <diagonal/>
    </border>
    <border>
      <left style="medium">
        <color auto="1"/>
      </left>
      <right style="thin">
        <color theme="0" tint="-0.14996795556505021"/>
      </right>
      <top/>
      <bottom style="medium">
        <color auto="1"/>
      </bottom>
      <diagonal/>
    </border>
    <border>
      <left style="medium">
        <color auto="1"/>
      </left>
      <right style="thin">
        <color theme="0" tint="-0.14996795556505021"/>
      </right>
      <top style="medium">
        <color auto="1"/>
      </top>
      <bottom style="thin">
        <color rgb="FF7F7F7F"/>
      </bottom>
      <diagonal/>
    </border>
    <border>
      <left style="medium">
        <color auto="1"/>
      </left>
      <right style="thin">
        <color theme="0" tint="-0.14996795556505021"/>
      </right>
      <top style="thin">
        <color rgb="FF7F7F7F"/>
      </top>
      <bottom style="thin">
        <color rgb="FF7F7F7F"/>
      </bottom>
      <diagonal/>
    </border>
    <border>
      <left style="medium">
        <color auto="1"/>
      </left>
      <right style="thin">
        <color theme="0" tint="-0.14996795556505021"/>
      </right>
      <top style="thin">
        <color rgb="FF7F7F7F"/>
      </top>
      <bottom style="thin">
        <color auto="1"/>
      </bottom>
      <diagonal/>
    </border>
    <border>
      <left/>
      <right style="thin">
        <color auto="1"/>
      </right>
      <top style="thin">
        <color theme="0"/>
      </top>
      <bottom style="thin">
        <color auto="1"/>
      </bottom>
      <diagonal/>
    </border>
    <border>
      <left/>
      <right style="thin">
        <color auto="1"/>
      </right>
      <top style="thin">
        <color auto="1"/>
      </top>
      <bottom style="thin">
        <color theme="0"/>
      </bottom>
      <diagonal/>
    </border>
    <border>
      <left/>
      <right style="thin">
        <color indexed="64"/>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style="thin">
        <color rgb="FF7F7F7F"/>
      </right>
      <top style="thin">
        <color indexed="64"/>
      </top>
      <bottom style="thin">
        <color theme="0" tint="-0.14996795556505021"/>
      </bottom>
      <diagonal/>
    </border>
    <border>
      <left style="thin">
        <color rgb="FF7F7F7F"/>
      </left>
      <right style="thin">
        <color rgb="FF7F7F7F"/>
      </right>
      <top style="thin">
        <color indexed="64"/>
      </top>
      <bottom style="thin">
        <color theme="0" tint="-0.14996795556505021"/>
      </bottom>
      <diagonal/>
    </border>
    <border>
      <left style="thin">
        <color rgb="FF7F7F7F"/>
      </left>
      <right style="thin">
        <color theme="0" tint="-0.14996795556505021"/>
      </right>
      <top style="thin">
        <color indexed="64"/>
      </top>
      <bottom style="thin">
        <color theme="0" tint="-0.1499679555650502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auto="1"/>
      </left>
      <right style="thin">
        <color theme="0" tint="-0.14996795556505021"/>
      </right>
      <top style="thin">
        <color auto="1"/>
      </top>
      <bottom/>
      <diagonal/>
    </border>
    <border>
      <left style="thin">
        <color theme="0" tint="-0.14996795556505021"/>
      </left>
      <right style="medium">
        <color auto="1"/>
      </right>
      <top style="thin">
        <color auto="1"/>
      </top>
      <bottom/>
      <diagonal/>
    </border>
    <border>
      <left style="thin">
        <color theme="0" tint="-0.14996795556505021"/>
      </left>
      <right style="medium">
        <color auto="1"/>
      </right>
      <top/>
      <bottom style="medium">
        <color auto="1"/>
      </bottom>
      <diagonal/>
    </border>
    <border>
      <left style="thin">
        <color theme="0" tint="-0.14993743705557422"/>
      </left>
      <right style="thin">
        <color theme="0" tint="-0.14993743705557422"/>
      </right>
      <top style="medium">
        <color auto="1"/>
      </top>
      <bottom style="thin">
        <color theme="0" tint="-0.14993743705557422"/>
      </bottom>
      <diagonal/>
    </border>
    <border>
      <left style="thin">
        <color theme="0" tint="-0.14993743705557422"/>
      </left>
      <right style="medium">
        <color theme="0" tint="-0.14996795556505021"/>
      </right>
      <top style="medium">
        <color auto="1"/>
      </top>
      <bottom style="thin">
        <color theme="0" tint="-0.14993743705557422"/>
      </bottom>
      <diagonal/>
    </border>
    <border>
      <left style="medium">
        <color theme="0" tint="-0.14996795556505021"/>
      </left>
      <right style="thin">
        <color theme="0" tint="-0.14993743705557422"/>
      </right>
      <top style="medium">
        <color auto="1"/>
      </top>
      <bottom style="thin">
        <color theme="0" tint="-0.14993743705557422"/>
      </bottom>
      <diagonal/>
    </border>
    <border>
      <left style="thin">
        <color theme="0" tint="-0.14993743705557422"/>
      </left>
      <right style="medium">
        <color theme="0" tint="-0.14996795556505021"/>
      </right>
      <top style="thin">
        <color theme="0" tint="-0.14993743705557422"/>
      </top>
      <bottom style="thin">
        <color theme="0" tint="-0.14993743705557422"/>
      </bottom>
      <diagonal/>
    </border>
    <border>
      <left style="medium">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medium">
        <color auto="1"/>
      </top>
      <bottom style="thin">
        <color theme="0" tint="-0.14996795556505021"/>
      </bottom>
      <diagonal/>
    </border>
    <border>
      <left style="thin">
        <color theme="0" tint="-0.14996795556505021"/>
      </left>
      <right style="thin">
        <color theme="0" tint="-0.14996795556505021"/>
      </right>
      <top style="medium">
        <color auto="1"/>
      </top>
      <bottom style="thin">
        <color auto="1"/>
      </bottom>
      <diagonal/>
    </border>
  </borders>
  <cellStyleXfs count="10">
    <xf numFmtId="0" fontId="0" fillId="0" borderId="0"/>
    <xf numFmtId="9" fontId="6" fillId="0" borderId="0" applyFont="0" applyFill="0" applyBorder="0" applyAlignment="0" applyProtection="0"/>
    <xf numFmtId="0" fontId="10" fillId="3" borderId="5" applyNumberFormat="0" applyAlignment="0" applyProtection="0"/>
    <xf numFmtId="0" fontId="11" fillId="4" borderId="6" applyNumberFormat="0" applyAlignment="0" applyProtection="0"/>
    <xf numFmtId="0" fontId="4" fillId="0" borderId="0"/>
    <xf numFmtId="0" fontId="21" fillId="0" borderId="0"/>
    <xf numFmtId="9" fontId="21" fillId="0" borderId="0" applyFont="0" applyFill="0" applyBorder="0" applyAlignment="0" applyProtection="0"/>
    <xf numFmtId="0" fontId="3" fillId="0" borderId="0"/>
    <xf numFmtId="0" fontId="55" fillId="3" borderId="5" applyNumberFormat="0" applyAlignment="0" applyProtection="0"/>
    <xf numFmtId="0" fontId="2" fillId="0" borderId="0"/>
  </cellStyleXfs>
  <cellXfs count="451">
    <xf numFmtId="0" fontId="0" fillId="0" borderId="0" xfId="0"/>
    <xf numFmtId="0" fontId="5" fillId="0" borderId="0" xfId="0" applyFont="1"/>
    <xf numFmtId="0" fontId="5" fillId="0" borderId="0" xfId="0" applyFont="1" applyAlignment="1">
      <alignment horizontal="left" indent="1"/>
    </xf>
    <xf numFmtId="0" fontId="0" fillId="0" borderId="0" xfId="0" applyAlignment="1">
      <alignment horizontal="left" indent="1"/>
    </xf>
    <xf numFmtId="0" fontId="0" fillId="0" borderId="0" xfId="0" applyAlignment="1">
      <alignment horizontal="right" indent="1"/>
    </xf>
    <xf numFmtId="164" fontId="0" fillId="0" borderId="0" xfId="0" applyNumberFormat="1" applyAlignment="1">
      <alignment horizontal="right" indent="1"/>
    </xf>
    <xf numFmtId="166" fontId="0" fillId="0" borderId="0" xfId="0" applyNumberFormat="1" applyAlignment="1">
      <alignment horizontal="right" indent="1"/>
    </xf>
    <xf numFmtId="0" fontId="0" fillId="0" borderId="2" xfId="0" applyBorder="1" applyAlignment="1">
      <alignment horizontal="left" indent="1"/>
    </xf>
    <xf numFmtId="0" fontId="0" fillId="0" borderId="2" xfId="0" applyBorder="1" applyAlignment="1">
      <alignment horizontal="right" indent="1"/>
    </xf>
    <xf numFmtId="168" fontId="0" fillId="0" borderId="0" xfId="0" applyNumberFormat="1" applyAlignment="1">
      <alignment horizontal="right" indent="1" shrinkToFit="1"/>
    </xf>
    <xf numFmtId="168" fontId="5" fillId="0" borderId="2" xfId="0" applyNumberFormat="1" applyFont="1" applyBorder="1" applyAlignment="1">
      <alignment horizontal="right" indent="1" shrinkToFit="1"/>
    </xf>
    <xf numFmtId="169" fontId="0" fillId="0" borderId="0" xfId="0" applyNumberFormat="1" applyAlignment="1">
      <alignment horizontal="right" indent="1"/>
    </xf>
    <xf numFmtId="0" fontId="5" fillId="2" borderId="3" xfId="0" applyFont="1" applyFill="1" applyBorder="1" applyAlignment="1">
      <alignment horizontal="left" indent="1"/>
    </xf>
    <xf numFmtId="0" fontId="0" fillId="2" borderId="3" xfId="0" applyFill="1" applyBorder="1" applyAlignment="1">
      <alignment horizontal="right" indent="1"/>
    </xf>
    <xf numFmtId="0" fontId="5" fillId="2" borderId="3" xfId="0" applyFont="1" applyFill="1" applyBorder="1" applyAlignment="1">
      <alignment horizontal="right" indent="1"/>
    </xf>
    <xf numFmtId="167" fontId="5" fillId="2" borderId="3" xfId="0" applyNumberFormat="1" applyFont="1" applyFill="1" applyBorder="1" applyAlignment="1">
      <alignment horizontal="left" indent="1"/>
    </xf>
    <xf numFmtId="0" fontId="5" fillId="2" borderId="3" xfId="0" applyFont="1" applyFill="1" applyBorder="1" applyAlignment="1">
      <alignment horizontal="left" wrapText="1" indent="1"/>
    </xf>
    <xf numFmtId="0" fontId="0" fillId="0" borderId="3" xfId="0" applyBorder="1"/>
    <xf numFmtId="0" fontId="0" fillId="0" borderId="3" xfId="0" applyBorder="1" applyAlignment="1">
      <alignment horizontal="left" indent="1"/>
    </xf>
    <xf numFmtId="0" fontId="5" fillId="0" borderId="1" xfId="0" applyFont="1" applyBorder="1" applyAlignment="1">
      <alignment horizontal="left" indent="1"/>
    </xf>
    <xf numFmtId="0" fontId="0" fillId="0" borderId="0" xfId="0" applyAlignment="1">
      <alignment horizontal="left" vertical="center" indent="1"/>
    </xf>
    <xf numFmtId="0" fontId="5" fillId="0" borderId="1" xfId="0" applyFont="1" applyBorder="1" applyAlignment="1">
      <alignment horizontal="left" wrapText="1" indent="1"/>
    </xf>
    <xf numFmtId="0" fontId="5" fillId="0" borderId="4" xfId="0" applyFont="1" applyBorder="1" applyAlignment="1">
      <alignment horizontal="left" wrapText="1" indent="1"/>
    </xf>
    <xf numFmtId="0" fontId="0" fillId="0" borderId="1" xfId="0" applyBorder="1"/>
    <xf numFmtId="0" fontId="5" fillId="0" borderId="1" xfId="0" applyFont="1" applyBorder="1" applyAlignment="1">
      <alignment horizontal="left" vertical="center" indent="1"/>
    </xf>
    <xf numFmtId="168" fontId="5" fillId="0" borderId="0" xfId="0" applyNumberFormat="1" applyFont="1" applyAlignment="1">
      <alignment horizontal="right" indent="1" shrinkToFit="1"/>
    </xf>
    <xf numFmtId="0" fontId="5" fillId="0" borderId="0" xfId="0" applyFont="1" applyAlignment="1">
      <alignment horizontal="left" indent="1" shrinkToFit="1"/>
    </xf>
    <xf numFmtId="0" fontId="0" fillId="0" borderId="0" xfId="0" applyAlignment="1">
      <alignment horizontal="left" indent="1" shrinkToFit="1"/>
    </xf>
    <xf numFmtId="0" fontId="5" fillId="0" borderId="1" xfId="0" applyFont="1" applyBorder="1" applyAlignment="1">
      <alignment horizontal="left" indent="1" shrinkToFit="1"/>
    </xf>
    <xf numFmtId="0" fontId="5" fillId="2" borderId="3" xfId="0" applyFont="1" applyFill="1" applyBorder="1" applyAlignment="1">
      <alignment horizontal="left" indent="1" shrinkToFit="1"/>
    </xf>
    <xf numFmtId="0" fontId="0" fillId="0" borderId="2" xfId="0" applyBorder="1" applyAlignment="1">
      <alignment horizontal="left" indent="1" shrinkToFit="1"/>
    </xf>
    <xf numFmtId="0" fontId="0" fillId="2" borderId="3" xfId="0" applyFill="1" applyBorder="1" applyAlignment="1">
      <alignment horizontal="left" indent="1" shrinkToFit="1"/>
    </xf>
    <xf numFmtId="0" fontId="5" fillId="0" borderId="3" xfId="0" applyFont="1" applyBorder="1" applyAlignment="1">
      <alignment horizontal="left" indent="1" shrinkToFit="1"/>
    </xf>
    <xf numFmtId="0" fontId="5" fillId="2" borderId="1" xfId="0" applyFont="1" applyFill="1" applyBorder="1" applyAlignment="1">
      <alignment horizontal="left" indent="1" shrinkToFit="1"/>
    </xf>
    <xf numFmtId="0" fontId="5" fillId="2" borderId="1" xfId="0" applyFont="1" applyFill="1" applyBorder="1" applyAlignment="1">
      <alignment horizontal="left" wrapText="1" indent="1"/>
    </xf>
    <xf numFmtId="0" fontId="5" fillId="2" borderId="8" xfId="0" applyFont="1" applyFill="1" applyBorder="1" applyAlignment="1">
      <alignment horizontal="left" indent="1" shrinkToFit="1"/>
    </xf>
    <xf numFmtId="0" fontId="5" fillId="2" borderId="8" xfId="0" applyFont="1" applyFill="1" applyBorder="1" applyAlignment="1">
      <alignment horizontal="left" wrapText="1" indent="1"/>
    </xf>
    <xf numFmtId="0" fontId="15" fillId="6" borderId="10" xfId="0" applyFont="1" applyFill="1" applyBorder="1" applyAlignment="1">
      <alignment wrapText="1"/>
    </xf>
    <xf numFmtId="0" fontId="15" fillId="6" borderId="0" xfId="0" applyFont="1" applyFill="1" applyAlignment="1">
      <alignment wrapText="1"/>
    </xf>
    <xf numFmtId="0" fontId="0" fillId="7" borderId="0" xfId="0" applyFill="1"/>
    <xf numFmtId="0" fontId="0" fillId="7" borderId="0" xfId="0" applyFill="1" applyAlignment="1">
      <alignment horizontal="left" indent="1"/>
    </xf>
    <xf numFmtId="0" fontId="0" fillId="7" borderId="9" xfId="0" applyFill="1" applyBorder="1" applyAlignment="1">
      <alignment horizontal="left" indent="1"/>
    </xf>
    <xf numFmtId="172" fontId="0" fillId="0" borderId="0" xfId="0" applyNumberFormat="1" applyAlignment="1">
      <alignment horizontal="right" indent="1" shrinkToFit="1"/>
    </xf>
    <xf numFmtId="169" fontId="0" fillId="0" borderId="0" xfId="0" applyNumberFormat="1" applyAlignment="1">
      <alignment horizontal="right" indent="1" shrinkToFit="1"/>
    </xf>
    <xf numFmtId="9" fontId="0" fillId="0" borderId="0" xfId="1" applyFont="1" applyAlignment="1">
      <alignment horizontal="right" indent="1" shrinkToFit="1"/>
    </xf>
    <xf numFmtId="173" fontId="0" fillId="0" borderId="0" xfId="0" applyNumberFormat="1" applyAlignment="1">
      <alignment horizontal="right" vertical="center" indent="1" shrinkToFit="1"/>
    </xf>
    <xf numFmtId="0" fontId="0" fillId="0" borderId="0" xfId="0" applyAlignment="1">
      <alignment horizontal="right" vertical="center" indent="1" shrinkToFit="1"/>
    </xf>
    <xf numFmtId="0" fontId="0" fillId="0" borderId="0" xfId="0" applyAlignment="1">
      <alignment horizontal="left" vertical="center" wrapText="1" indent="1"/>
    </xf>
    <xf numFmtId="0" fontId="10" fillId="3" borderId="5" xfId="2" applyAlignment="1">
      <alignment horizontal="left" indent="1"/>
    </xf>
    <xf numFmtId="170" fontId="0" fillId="9" borderId="18" xfId="0" applyNumberFormat="1" applyFill="1" applyBorder="1" applyAlignment="1">
      <alignment horizontal="right" indent="1" shrinkToFit="1"/>
    </xf>
    <xf numFmtId="0" fontId="4" fillId="10" borderId="0" xfId="4" applyFill="1"/>
    <xf numFmtId="0" fontId="4" fillId="0" borderId="0" xfId="4" applyAlignment="1">
      <alignment wrapText="1"/>
    </xf>
    <xf numFmtId="0" fontId="4" fillId="0" borderId="0" xfId="4"/>
    <xf numFmtId="0" fontId="4" fillId="11" borderId="19" xfId="4" applyFill="1" applyBorder="1"/>
    <xf numFmtId="0" fontId="4" fillId="11" borderId="20" xfId="4" applyFill="1" applyBorder="1"/>
    <xf numFmtId="0" fontId="4" fillId="11" borderId="21" xfId="4" applyFill="1" applyBorder="1"/>
    <xf numFmtId="0" fontId="4" fillId="11" borderId="0" xfId="4" applyFill="1"/>
    <xf numFmtId="0" fontId="4" fillId="11" borderId="22" xfId="4" applyFill="1" applyBorder="1"/>
    <xf numFmtId="0" fontId="4" fillId="11" borderId="23" xfId="4" applyFill="1" applyBorder="1"/>
    <xf numFmtId="0" fontId="13" fillId="11" borderId="24" xfId="4" applyFont="1" applyFill="1" applyBorder="1" applyAlignment="1">
      <alignment horizontal="right" indent="6"/>
    </xf>
    <xf numFmtId="0" fontId="4" fillId="11" borderId="25" xfId="4" applyFill="1" applyBorder="1"/>
    <xf numFmtId="0" fontId="17" fillId="7" borderId="0" xfId="4" applyFont="1" applyFill="1" applyAlignment="1">
      <alignment horizontal="left" indent="1"/>
    </xf>
    <xf numFmtId="0" fontId="4" fillId="7" borderId="0" xfId="4" applyFill="1"/>
    <xf numFmtId="0" fontId="12" fillId="7" borderId="0" xfId="4" applyFont="1" applyFill="1" applyAlignment="1">
      <alignment horizontal="right" indent="1"/>
    </xf>
    <xf numFmtId="0" fontId="4" fillId="7" borderId="0" xfId="4" applyFill="1" applyAlignment="1">
      <alignment horizontal="left" indent="1"/>
    </xf>
    <xf numFmtId="0" fontId="4" fillId="7" borderId="0" xfId="4" applyFill="1" applyAlignment="1">
      <alignment horizontal="right" indent="1"/>
    </xf>
    <xf numFmtId="0" fontId="10" fillId="7" borderId="0" xfId="2" applyFill="1" applyBorder="1" applyAlignment="1">
      <alignment horizontal="left" indent="1"/>
    </xf>
    <xf numFmtId="0" fontId="11" fillId="4" borderId="6" xfId="3" applyAlignment="1">
      <alignment horizontal="left" indent="1"/>
    </xf>
    <xf numFmtId="0" fontId="12" fillId="7" borderId="0" xfId="4" applyFont="1" applyFill="1" applyAlignment="1">
      <alignment horizontal="left" indent="1"/>
    </xf>
    <xf numFmtId="0" fontId="19" fillId="7" borderId="0" xfId="2" quotePrefix="1" applyFont="1" applyFill="1" applyBorder="1" applyAlignment="1">
      <alignment horizontal="left" indent="4"/>
    </xf>
    <xf numFmtId="0" fontId="10" fillId="7" borderId="0" xfId="2" quotePrefix="1" applyFill="1" applyBorder="1" applyAlignment="1">
      <alignment horizontal="left"/>
    </xf>
    <xf numFmtId="0" fontId="20" fillId="7" borderId="0" xfId="4" applyFont="1" applyFill="1" applyAlignment="1">
      <alignment horizontal="left" indent="1"/>
    </xf>
    <xf numFmtId="0" fontId="11" fillId="7" borderId="0" xfId="3" applyFill="1" applyBorder="1" applyAlignment="1">
      <alignment horizontal="left" indent="1"/>
    </xf>
    <xf numFmtId="0" fontId="4" fillId="11" borderId="24" xfId="4" applyFill="1" applyBorder="1"/>
    <xf numFmtId="0" fontId="4" fillId="11" borderId="26" xfId="4" applyFill="1" applyBorder="1"/>
    <xf numFmtId="0" fontId="4" fillId="11" borderId="27" xfId="4" applyFill="1" applyBorder="1"/>
    <xf numFmtId="0" fontId="12" fillId="7" borderId="0" xfId="4" applyFont="1" applyFill="1" applyAlignment="1">
      <alignment horizontal="right" indent="1" shrinkToFit="1"/>
    </xf>
    <xf numFmtId="171" fontId="5" fillId="12" borderId="28" xfId="0" applyNumberFormat="1" applyFont="1" applyFill="1" applyBorder="1" applyAlignment="1">
      <alignment vertical="center" shrinkToFit="1"/>
    </xf>
    <xf numFmtId="0" fontId="21" fillId="0" borderId="0" xfId="5"/>
    <xf numFmtId="0" fontId="22" fillId="0" borderId="0" xfId="5" applyFont="1"/>
    <xf numFmtId="0" fontId="21" fillId="5" borderId="0" xfId="5" applyFill="1"/>
    <xf numFmtId="0" fontId="21" fillId="7" borderId="17" xfId="5" applyFill="1" applyBorder="1"/>
    <xf numFmtId="0" fontId="21" fillId="7" borderId="7" xfId="5" applyFill="1" applyBorder="1"/>
    <xf numFmtId="0" fontId="21" fillId="7" borderId="30" xfId="5" applyFill="1" applyBorder="1" applyAlignment="1">
      <alignment horizontal="left" indent="1"/>
    </xf>
    <xf numFmtId="0" fontId="21" fillId="7" borderId="31" xfId="5" applyFill="1" applyBorder="1"/>
    <xf numFmtId="0" fontId="21" fillId="7" borderId="0" xfId="5" applyFill="1"/>
    <xf numFmtId="0" fontId="21" fillId="7" borderId="32" xfId="5" applyFill="1" applyBorder="1" applyAlignment="1">
      <alignment horizontal="left" indent="1"/>
    </xf>
    <xf numFmtId="0" fontId="21" fillId="7" borderId="32" xfId="5" applyFill="1" applyBorder="1"/>
    <xf numFmtId="0" fontId="21" fillId="7" borderId="0" xfId="5" applyFill="1" applyAlignment="1">
      <alignment horizontal="right" vertical="center" indent="1" shrinkToFit="1"/>
    </xf>
    <xf numFmtId="0" fontId="21" fillId="7" borderId="31" xfId="5" applyFill="1" applyBorder="1" applyAlignment="1">
      <alignment horizontal="center"/>
    </xf>
    <xf numFmtId="0" fontId="21" fillId="7" borderId="0" xfId="5" applyFill="1" applyAlignment="1">
      <alignment horizontal="left" indent="1"/>
    </xf>
    <xf numFmtId="0" fontId="21" fillId="7" borderId="16" xfId="5" applyFill="1" applyBorder="1" applyAlignment="1">
      <alignment horizontal="right"/>
    </xf>
    <xf numFmtId="0" fontId="21" fillId="7" borderId="0" xfId="5" applyFill="1" applyAlignment="1">
      <alignment horizontal="right"/>
    </xf>
    <xf numFmtId="0" fontId="21" fillId="7" borderId="2" xfId="5" applyFill="1" applyBorder="1" applyAlignment="1">
      <alignment horizontal="right" vertical="center" indent="1" shrinkToFit="1"/>
    </xf>
    <xf numFmtId="0" fontId="21" fillId="7" borderId="33" xfId="5" applyFill="1" applyBorder="1" applyAlignment="1">
      <alignment horizontal="right"/>
    </xf>
    <xf numFmtId="0" fontId="23" fillId="0" borderId="0" xfId="5" applyFont="1"/>
    <xf numFmtId="0" fontId="21" fillId="7" borderId="30" xfId="5" applyFill="1" applyBorder="1"/>
    <xf numFmtId="49" fontId="21" fillId="7" borderId="17" xfId="5" applyNumberFormat="1" applyFill="1" applyBorder="1" applyAlignment="1">
      <alignment horizontal="center"/>
    </xf>
    <xf numFmtId="0" fontId="21" fillId="7" borderId="7" xfId="5" applyFill="1" applyBorder="1" applyAlignment="1">
      <alignment horizontal="right" vertical="center" indent="1" shrinkToFit="1"/>
    </xf>
    <xf numFmtId="49" fontId="21" fillId="7" borderId="32" xfId="5" applyNumberFormat="1" applyFill="1" applyBorder="1" applyAlignment="1">
      <alignment horizontal="right"/>
    </xf>
    <xf numFmtId="49" fontId="21" fillId="7" borderId="31" xfId="5" applyNumberFormat="1" applyFill="1" applyBorder="1" applyAlignment="1">
      <alignment horizontal="center"/>
    </xf>
    <xf numFmtId="1" fontId="21" fillId="7" borderId="31" xfId="5" applyNumberFormat="1" applyFill="1" applyBorder="1"/>
    <xf numFmtId="0" fontId="22" fillId="7" borderId="32" xfId="5" applyFont="1" applyFill="1" applyBorder="1" applyAlignment="1">
      <alignment horizontal="left" indent="1"/>
    </xf>
    <xf numFmtId="0" fontId="22" fillId="7" borderId="33" xfId="5" applyFont="1" applyFill="1" applyBorder="1" applyAlignment="1">
      <alignment horizontal="left" indent="1"/>
    </xf>
    <xf numFmtId="1" fontId="21" fillId="7" borderId="7" xfId="5" applyNumberFormat="1" applyFill="1" applyBorder="1"/>
    <xf numFmtId="0" fontId="22" fillId="7" borderId="31" xfId="5" applyFont="1" applyFill="1" applyBorder="1" applyAlignment="1">
      <alignment horizontal="center"/>
    </xf>
    <xf numFmtId="0" fontId="22" fillId="7" borderId="0" xfId="5" applyFont="1" applyFill="1" applyAlignment="1">
      <alignment horizontal="center"/>
    </xf>
    <xf numFmtId="0" fontId="22" fillId="7" borderId="32" xfId="5" applyFont="1" applyFill="1" applyBorder="1" applyAlignment="1">
      <alignment horizontal="center"/>
    </xf>
    <xf numFmtId="0" fontId="22" fillId="7" borderId="16" xfId="5" applyFont="1" applyFill="1" applyBorder="1" applyAlignment="1">
      <alignment horizontal="center"/>
    </xf>
    <xf numFmtId="0" fontId="22" fillId="7" borderId="2" xfId="5" applyFont="1" applyFill="1" applyBorder="1" applyAlignment="1">
      <alignment horizontal="center"/>
    </xf>
    <xf numFmtId="49" fontId="21" fillId="7" borderId="36" xfId="5" applyNumberFormat="1" applyFill="1" applyBorder="1" applyAlignment="1">
      <alignment horizontal="left" indent="1"/>
    </xf>
    <xf numFmtId="1" fontId="21" fillId="7" borderId="0" xfId="5" applyNumberFormat="1" applyFill="1"/>
    <xf numFmtId="0" fontId="21" fillId="5" borderId="0" xfId="5" applyFill="1" applyAlignment="1">
      <alignment horizontal="center"/>
    </xf>
    <xf numFmtId="0" fontId="21" fillId="5" borderId="0" xfId="5" applyFill="1" applyAlignment="1">
      <alignment horizontal="right"/>
    </xf>
    <xf numFmtId="49" fontId="21" fillId="7" borderId="31" xfId="5" applyNumberFormat="1" applyFill="1" applyBorder="1"/>
    <xf numFmtId="49" fontId="21" fillId="7" borderId="31" xfId="5" quotePrefix="1" applyNumberFormat="1" applyFill="1" applyBorder="1" applyAlignment="1">
      <alignment horizontal="left" vertical="center" indent="1"/>
    </xf>
    <xf numFmtId="0" fontId="21" fillId="7" borderId="0" xfId="5" applyFill="1" applyAlignment="1">
      <alignment horizontal="center"/>
    </xf>
    <xf numFmtId="0" fontId="21" fillId="7" borderId="16" xfId="5" applyFill="1" applyBorder="1"/>
    <xf numFmtId="0" fontId="21" fillId="7" borderId="2" xfId="5" applyFill="1" applyBorder="1"/>
    <xf numFmtId="0" fontId="21" fillId="7" borderId="33" xfId="5" applyFill="1" applyBorder="1"/>
    <xf numFmtId="0" fontId="21" fillId="16" borderId="0" xfId="5" applyFill="1"/>
    <xf numFmtId="176" fontId="24" fillId="0" borderId="0" xfId="5" applyNumberFormat="1" applyFont="1" applyAlignment="1">
      <alignment horizontal="right" shrinkToFit="1"/>
    </xf>
    <xf numFmtId="165" fontId="25" fillId="0" borderId="37" xfId="5" applyNumberFormat="1" applyFont="1" applyBorder="1" applyAlignment="1">
      <alignment horizontal="right" indent="1" shrinkToFit="1"/>
    </xf>
    <xf numFmtId="0" fontId="26" fillId="0" borderId="0" xfId="5" applyFont="1"/>
    <xf numFmtId="165" fontId="25" fillId="0" borderId="3" xfId="5" applyNumberFormat="1" applyFont="1" applyBorder="1" applyAlignment="1">
      <alignment horizontal="right" shrinkToFit="1"/>
    </xf>
    <xf numFmtId="0" fontId="27" fillId="0" borderId="0" xfId="5" applyFont="1"/>
    <xf numFmtId="0" fontId="25" fillId="0" borderId="39" xfId="5" applyFont="1" applyBorder="1" applyAlignment="1">
      <alignment horizontal="left" indent="1"/>
    </xf>
    <xf numFmtId="0" fontId="23" fillId="0" borderId="0" xfId="5" applyFont="1" applyAlignment="1">
      <alignment horizontal="right" vertical="center" indent="1"/>
    </xf>
    <xf numFmtId="0" fontId="25" fillId="0" borderId="0" xfId="5" applyFont="1"/>
    <xf numFmtId="0" fontId="28" fillId="0" borderId="0" xfId="5" applyFont="1" applyAlignment="1">
      <alignment horizontal="right" indent="1"/>
    </xf>
    <xf numFmtId="0" fontId="28" fillId="0" borderId="0" xfId="5" applyFont="1"/>
    <xf numFmtId="0" fontId="21" fillId="14" borderId="0" xfId="5" applyFill="1"/>
    <xf numFmtId="0" fontId="22" fillId="14" borderId="0" xfId="5" applyFont="1" applyFill="1" applyAlignment="1">
      <alignment horizontal="left" indent="1"/>
    </xf>
    <xf numFmtId="0" fontId="29" fillId="0" borderId="0" xfId="5" applyFont="1"/>
    <xf numFmtId="0" fontId="24" fillId="0" borderId="0" xfId="5" applyFont="1"/>
    <xf numFmtId="0" fontId="28" fillId="0" borderId="0" xfId="5" applyFont="1" applyAlignment="1">
      <alignment horizontal="right"/>
    </xf>
    <xf numFmtId="0" fontId="30" fillId="0" borderId="0" xfId="5" applyFont="1"/>
    <xf numFmtId="0" fontId="23" fillId="0" borderId="0" xfId="5" applyFont="1" applyAlignment="1">
      <alignment horizontal="right" indent="1"/>
    </xf>
    <xf numFmtId="0" fontId="28" fillId="0" borderId="0" xfId="5" applyFont="1" applyAlignment="1">
      <alignment horizontal="left" indent="1" shrinkToFit="1"/>
    </xf>
    <xf numFmtId="0" fontId="28" fillId="0" borderId="0" xfId="5" applyFont="1" applyAlignment="1">
      <alignment horizontal="right" vertical="center" indent="1"/>
    </xf>
    <xf numFmtId="0" fontId="25" fillId="0" borderId="0" xfId="5" applyFont="1" applyAlignment="1">
      <alignment horizontal="left" indent="1"/>
    </xf>
    <xf numFmtId="0" fontId="22" fillId="0" borderId="0" xfId="5" applyFont="1" applyAlignment="1">
      <alignment horizontal="left" indent="1"/>
    </xf>
    <xf numFmtId="0" fontId="29" fillId="0" borderId="0" xfId="5" applyFont="1" applyAlignment="1">
      <alignment horizontal="center"/>
    </xf>
    <xf numFmtId="179" fontId="24" fillId="0" borderId="17" xfId="5" applyNumberFormat="1" applyFont="1" applyBorder="1" applyAlignment="1">
      <alignment horizontal="right" wrapText="1"/>
    </xf>
    <xf numFmtId="179" fontId="24" fillId="0" borderId="7" xfId="5" applyNumberFormat="1" applyFont="1" applyBorder="1" applyAlignment="1">
      <alignment horizontal="right" wrapText="1"/>
    </xf>
    <xf numFmtId="179" fontId="24" fillId="0" borderId="30" xfId="5" applyNumberFormat="1" applyFont="1" applyBorder="1" applyAlignment="1">
      <alignment horizontal="right" wrapText="1"/>
    </xf>
    <xf numFmtId="0" fontId="38" fillId="0" borderId="0" xfId="5" applyFont="1" applyAlignment="1">
      <alignment horizontal="center" wrapText="1"/>
    </xf>
    <xf numFmtId="179" fontId="24" fillId="0" borderId="31" xfId="5" applyNumberFormat="1" applyFont="1" applyBorder="1" applyAlignment="1">
      <alignment horizontal="right" wrapText="1"/>
    </xf>
    <xf numFmtId="179" fontId="24" fillId="0" borderId="0" xfId="5" applyNumberFormat="1" applyFont="1" applyAlignment="1">
      <alignment horizontal="right" wrapText="1"/>
    </xf>
    <xf numFmtId="179" fontId="24" fillId="0" borderId="32" xfId="5" applyNumberFormat="1" applyFont="1" applyBorder="1" applyAlignment="1">
      <alignment horizontal="right" wrapText="1"/>
    </xf>
    <xf numFmtId="179" fontId="24" fillId="0" borderId="16" xfId="5" applyNumberFormat="1" applyFont="1" applyBorder="1" applyAlignment="1">
      <alignment horizontal="right" wrapText="1"/>
    </xf>
    <xf numFmtId="179" fontId="24" fillId="0" borderId="2" xfId="5" applyNumberFormat="1" applyFont="1" applyBorder="1" applyAlignment="1">
      <alignment horizontal="right" wrapText="1"/>
    </xf>
    <xf numFmtId="179" fontId="24" fillId="0" borderId="33" xfId="5" applyNumberFormat="1" applyFont="1" applyBorder="1" applyAlignment="1">
      <alignment horizontal="right" wrapText="1"/>
    </xf>
    <xf numFmtId="179" fontId="39" fillId="0" borderId="31" xfId="5" applyNumberFormat="1" applyFont="1" applyBorder="1" applyAlignment="1">
      <alignment horizontal="right" wrapText="1"/>
    </xf>
    <xf numFmtId="179" fontId="39" fillId="0" borderId="0" xfId="5" applyNumberFormat="1" applyFont="1" applyAlignment="1">
      <alignment horizontal="right" wrapText="1"/>
    </xf>
    <xf numFmtId="0" fontId="25" fillId="0" borderId="0" xfId="5" applyFont="1" applyAlignment="1">
      <alignment horizontal="center" wrapText="1"/>
    </xf>
    <xf numFmtId="179" fontId="39" fillId="0" borderId="16" xfId="5" applyNumberFormat="1" applyFont="1" applyBorder="1" applyAlignment="1">
      <alignment horizontal="right" wrapText="1"/>
    </xf>
    <xf numFmtId="179" fontId="39" fillId="0" borderId="2" xfId="5" applyNumberFormat="1" applyFont="1" applyBorder="1" applyAlignment="1">
      <alignment horizontal="right" wrapText="1"/>
    </xf>
    <xf numFmtId="179" fontId="39" fillId="0" borderId="17" xfId="5" applyNumberFormat="1" applyFont="1" applyBorder="1" applyAlignment="1">
      <alignment horizontal="right" wrapText="1"/>
    </xf>
    <xf numFmtId="179" fontId="39" fillId="0" borderId="7" xfId="5" applyNumberFormat="1" applyFont="1" applyBorder="1" applyAlignment="1">
      <alignment horizontal="right" wrapText="1"/>
    </xf>
    <xf numFmtId="1" fontId="38" fillId="0" borderId="0" xfId="5" applyNumberFormat="1" applyFont="1" applyAlignment="1">
      <alignment horizontal="center" wrapText="1"/>
    </xf>
    <xf numFmtId="1" fontId="33" fillId="0" borderId="17" xfId="5" applyNumberFormat="1" applyFont="1" applyBorder="1"/>
    <xf numFmtId="1" fontId="33" fillId="0" borderId="7" xfId="5" applyNumberFormat="1" applyFont="1" applyBorder="1"/>
    <xf numFmtId="1" fontId="33" fillId="0" borderId="30" xfId="5" applyNumberFormat="1" applyFont="1" applyBorder="1"/>
    <xf numFmtId="0" fontId="22" fillId="0" borderId="0" xfId="5" applyFont="1" applyAlignment="1">
      <alignment horizontal="center"/>
    </xf>
    <xf numFmtId="1" fontId="33" fillId="0" borderId="31" xfId="5" applyNumberFormat="1" applyFont="1" applyBorder="1"/>
    <xf numFmtId="1" fontId="33" fillId="0" borderId="0" xfId="5" applyNumberFormat="1" applyFont="1"/>
    <xf numFmtId="1" fontId="33" fillId="0" borderId="32" xfId="5" applyNumberFormat="1" applyFont="1" applyBorder="1"/>
    <xf numFmtId="1" fontId="33" fillId="0" borderId="16" xfId="5" applyNumberFormat="1" applyFont="1" applyBorder="1"/>
    <xf numFmtId="1" fontId="33" fillId="0" borderId="2" xfId="5" applyNumberFormat="1" applyFont="1" applyBorder="1"/>
    <xf numFmtId="1" fontId="33" fillId="0" borderId="33" xfId="5" applyNumberFormat="1" applyFont="1" applyBorder="1"/>
    <xf numFmtId="0" fontId="40" fillId="0" borderId="0" xfId="5" applyFont="1" applyAlignment="1">
      <alignment horizontal="center"/>
    </xf>
    <xf numFmtId="0" fontId="25" fillId="0" borderId="38" xfId="5" applyFont="1" applyBorder="1" applyAlignment="1">
      <alignment horizontal="left" indent="1"/>
    </xf>
    <xf numFmtId="0" fontId="22" fillId="7" borderId="0" xfId="5" applyFont="1" applyFill="1"/>
    <xf numFmtId="14" fontId="21" fillId="7" borderId="0" xfId="5" applyNumberFormat="1" applyFill="1"/>
    <xf numFmtId="0" fontId="40" fillId="7" borderId="0" xfId="5" applyFont="1" applyFill="1"/>
    <xf numFmtId="0" fontId="24" fillId="7" borderId="0" xfId="5" applyFont="1" applyFill="1" applyAlignment="1">
      <alignment horizontal="right" wrapText="1"/>
    </xf>
    <xf numFmtId="0" fontId="33" fillId="7" borderId="0" xfId="5" applyFont="1" applyFill="1"/>
    <xf numFmtId="0" fontId="25" fillId="7" borderId="0" xfId="5" applyFont="1" applyFill="1" applyAlignment="1">
      <alignment horizontal="left"/>
    </xf>
    <xf numFmtId="0" fontId="38" fillId="7" borderId="0" xfId="5" applyFont="1" applyFill="1" applyAlignment="1">
      <alignment horizontal="left" wrapText="1"/>
    </xf>
    <xf numFmtId="0" fontId="37" fillId="7" borderId="0" xfId="5" applyFont="1" applyFill="1"/>
    <xf numFmtId="0" fontId="31" fillId="7" borderId="0" xfId="5" applyFont="1" applyFill="1"/>
    <xf numFmtId="0" fontId="36" fillId="7" borderId="0" xfId="5" applyFont="1" applyFill="1"/>
    <xf numFmtId="0" fontId="29" fillId="7" borderId="0" xfId="5" applyFont="1" applyFill="1"/>
    <xf numFmtId="0" fontId="29" fillId="7" borderId="0" xfId="5" applyFont="1" applyFill="1" applyAlignment="1">
      <alignment horizontal="center"/>
    </xf>
    <xf numFmtId="0" fontId="29" fillId="7" borderId="0" xfId="5" applyFont="1" applyFill="1" applyAlignment="1">
      <alignment horizontal="left"/>
    </xf>
    <xf numFmtId="178" fontId="35" fillId="7" borderId="0" xfId="6" applyNumberFormat="1" applyFont="1" applyFill="1"/>
    <xf numFmtId="179" fontId="21" fillId="7" borderId="0" xfId="5" applyNumberFormat="1" applyFill="1"/>
    <xf numFmtId="178" fontId="34" fillId="7" borderId="0" xfId="6" applyNumberFormat="1" applyFont="1" applyFill="1"/>
    <xf numFmtId="178" fontId="33" fillId="7" borderId="0" xfId="6" applyNumberFormat="1" applyFont="1" applyFill="1"/>
    <xf numFmtId="178" fontId="21" fillId="7" borderId="0" xfId="6" applyNumberFormat="1" applyFont="1" applyFill="1"/>
    <xf numFmtId="178" fontId="21" fillId="7" borderId="0" xfId="5" applyNumberFormat="1" applyFill="1"/>
    <xf numFmtId="179" fontId="29" fillId="7" borderId="0" xfId="5" applyNumberFormat="1" applyFont="1" applyFill="1"/>
    <xf numFmtId="0" fontId="23" fillId="7" borderId="0" xfId="5" applyFont="1" applyFill="1"/>
    <xf numFmtId="9" fontId="33" fillId="7" borderId="0" xfId="5" applyNumberFormat="1" applyFont="1" applyFill="1"/>
    <xf numFmtId="178" fontId="33" fillId="7" borderId="0" xfId="5" applyNumberFormat="1" applyFont="1" applyFill="1"/>
    <xf numFmtId="0" fontId="32" fillId="7" borderId="0" xfId="5" applyFont="1" applyFill="1"/>
    <xf numFmtId="0" fontId="28" fillId="7" borderId="0" xfId="5" applyFont="1" applyFill="1"/>
    <xf numFmtId="0" fontId="32" fillId="7" borderId="0" xfId="5" applyFont="1" applyFill="1" applyAlignment="1">
      <alignment horizontal="right"/>
    </xf>
    <xf numFmtId="0" fontId="34" fillId="7" borderId="0" xfId="5" applyFont="1" applyFill="1"/>
    <xf numFmtId="10" fontId="34" fillId="7" borderId="0" xfId="5" applyNumberFormat="1" applyFont="1" applyFill="1"/>
    <xf numFmtId="165" fontId="23" fillId="0" borderId="0" xfId="5" quotePrefix="1" applyNumberFormat="1" applyFont="1" applyAlignment="1" applyProtection="1">
      <alignment vertical="center" shrinkToFit="1"/>
      <protection locked="0"/>
    </xf>
    <xf numFmtId="0" fontId="3" fillId="0" borderId="0" xfId="7"/>
    <xf numFmtId="0" fontId="3" fillId="0" borderId="40" xfId="7" applyBorder="1"/>
    <xf numFmtId="9" fontId="3" fillId="0" borderId="41" xfId="7" applyNumberFormat="1" applyBorder="1"/>
    <xf numFmtId="0" fontId="3" fillId="0" borderId="42" xfId="7" applyBorder="1" applyAlignment="1">
      <alignment horizontal="center" vertical="center"/>
    </xf>
    <xf numFmtId="9" fontId="3" fillId="0" borderId="37" xfId="7" applyNumberFormat="1" applyBorder="1" applyAlignment="1">
      <alignment vertical="center" shrinkToFit="1"/>
    </xf>
    <xf numFmtId="9" fontId="3" fillId="0" borderId="36" xfId="7" applyNumberFormat="1" applyBorder="1"/>
    <xf numFmtId="0" fontId="3" fillId="0" borderId="43" xfId="7" applyBorder="1" applyAlignment="1">
      <alignment horizontal="center" vertical="center"/>
    </xf>
    <xf numFmtId="0" fontId="3" fillId="0" borderId="41" xfId="7" applyBorder="1"/>
    <xf numFmtId="0" fontId="3" fillId="0" borderId="12" xfId="7" applyBorder="1"/>
    <xf numFmtId="0" fontId="3" fillId="0" borderId="9" xfId="7" applyBorder="1"/>
    <xf numFmtId="0" fontId="3" fillId="0" borderId="0" xfId="7" applyAlignment="1">
      <alignment horizontal="left" indent="1"/>
    </xf>
    <xf numFmtId="0" fontId="3" fillId="0" borderId="0" xfId="7" applyAlignment="1">
      <alignment horizontal="right" indent="1"/>
    </xf>
    <xf numFmtId="0" fontId="12" fillId="0" borderId="0" xfId="7" applyFont="1" applyAlignment="1">
      <alignment horizontal="left" indent="1"/>
    </xf>
    <xf numFmtId="0" fontId="3" fillId="7" borderId="32" xfId="7" applyFill="1" applyBorder="1"/>
    <xf numFmtId="0" fontId="3" fillId="18" borderId="32" xfId="7" applyFill="1" applyBorder="1"/>
    <xf numFmtId="0" fontId="42" fillId="0" borderId="0" xfId="7" applyFont="1" applyAlignment="1">
      <alignment horizontal="left" vertical="center" indent="1"/>
    </xf>
    <xf numFmtId="0" fontId="43" fillId="0" borderId="0" xfId="7" applyFont="1" applyAlignment="1">
      <alignment horizontal="left" vertical="center" wrapText="1" indent="1"/>
    </xf>
    <xf numFmtId="0" fontId="3" fillId="7" borderId="33" xfId="7" applyFill="1" applyBorder="1"/>
    <xf numFmtId="0" fontId="3" fillId="18" borderId="33" xfId="7" applyFill="1" applyBorder="1"/>
    <xf numFmtId="0" fontId="3" fillId="0" borderId="44" xfId="7" applyBorder="1"/>
    <xf numFmtId="0" fontId="3" fillId="0" borderId="36" xfId="7" applyBorder="1" applyAlignment="1">
      <alignment horizontal="center" vertical="center"/>
    </xf>
    <xf numFmtId="0" fontId="3" fillId="0" borderId="0" xfId="7" applyAlignment="1">
      <alignment horizontal="left" vertical="center" indent="1"/>
    </xf>
    <xf numFmtId="0" fontId="43" fillId="0" borderId="0" xfId="7" applyFont="1" applyAlignment="1">
      <alignment horizontal="left" vertical="center" indent="1"/>
    </xf>
    <xf numFmtId="0" fontId="3" fillId="0" borderId="46" xfId="7" applyBorder="1" applyAlignment="1">
      <alignment horizontal="center" vertical="center"/>
    </xf>
    <xf numFmtId="0" fontId="3" fillId="0" borderId="1" xfId="7" applyBorder="1"/>
    <xf numFmtId="0" fontId="12" fillId="7" borderId="47" xfId="7" applyFont="1" applyFill="1" applyBorder="1" applyAlignment="1">
      <alignment horizontal="left" indent="1"/>
    </xf>
    <xf numFmtId="9" fontId="3" fillId="7" borderId="48" xfId="7" applyNumberFormat="1" applyFill="1" applyBorder="1" applyAlignment="1">
      <alignment horizontal="center" vertical="center"/>
    </xf>
    <xf numFmtId="9" fontId="3" fillId="18" borderId="48" xfId="7" applyNumberFormat="1" applyFill="1" applyBorder="1" applyAlignment="1">
      <alignment horizontal="center" vertical="center"/>
    </xf>
    <xf numFmtId="0" fontId="12" fillId="0" borderId="1" xfId="7" applyFont="1" applyBorder="1" applyAlignment="1">
      <alignment horizontal="left" indent="1"/>
    </xf>
    <xf numFmtId="0" fontId="3" fillId="7" borderId="32" xfId="7" applyFill="1" applyBorder="1" applyAlignment="1">
      <alignment horizontal="left"/>
    </xf>
    <xf numFmtId="0" fontId="3" fillId="7" borderId="16" xfId="7" applyFill="1" applyBorder="1"/>
    <xf numFmtId="0" fontId="3" fillId="7" borderId="2" xfId="7" applyFill="1" applyBorder="1"/>
    <xf numFmtId="0" fontId="3" fillId="18" borderId="16" xfId="7" applyFill="1" applyBorder="1"/>
    <xf numFmtId="0" fontId="3" fillId="18" borderId="2" xfId="7" applyFill="1" applyBorder="1"/>
    <xf numFmtId="0" fontId="45" fillId="13" borderId="0" xfId="7" applyFont="1" applyFill="1" applyAlignment="1">
      <alignment horizontal="center"/>
    </xf>
    <xf numFmtId="181" fontId="0" fillId="0" borderId="0" xfId="0" applyNumberFormat="1" applyAlignment="1">
      <alignment horizontal="left" indent="2" shrinkToFit="1"/>
    </xf>
    <xf numFmtId="180" fontId="0" fillId="0" borderId="0" xfId="0" applyNumberFormat="1" applyAlignment="1">
      <alignment horizontal="left" indent="2" shrinkToFit="1"/>
    </xf>
    <xf numFmtId="0" fontId="0" fillId="2" borderId="7" xfId="0" applyFill="1" applyBorder="1" applyAlignment="1">
      <alignment horizontal="left" indent="1"/>
    </xf>
    <xf numFmtId="0" fontId="0" fillId="2" borderId="7" xfId="0" applyFill="1" applyBorder="1" applyAlignment="1">
      <alignment horizontal="left" indent="1" shrinkToFit="1"/>
    </xf>
    <xf numFmtId="169" fontId="0" fillId="0" borderId="53" xfId="0" applyNumberFormat="1" applyBorder="1" applyAlignment="1">
      <alignment horizontal="right" indent="1"/>
    </xf>
    <xf numFmtId="168" fontId="0" fillId="0" borderId="53" xfId="0" applyNumberFormat="1" applyBorder="1" applyAlignment="1">
      <alignment horizontal="right" indent="1" shrinkToFit="1"/>
    </xf>
    <xf numFmtId="0" fontId="11" fillId="0" borderId="0" xfId="3" applyNumberFormat="1" applyFill="1" applyBorder="1" applyAlignment="1">
      <alignment horizontal="left" indent="2" shrinkToFit="1"/>
    </xf>
    <xf numFmtId="49" fontId="11" fillId="0" borderId="0" xfId="3" applyNumberFormat="1" applyFill="1" applyBorder="1" applyAlignment="1">
      <alignment horizontal="center" shrinkToFit="1"/>
    </xf>
    <xf numFmtId="49" fontId="11" fillId="0" borderId="0" xfId="3" applyNumberFormat="1" applyFill="1" applyBorder="1" applyAlignment="1">
      <alignment horizontal="left" indent="2" shrinkToFit="1"/>
    </xf>
    <xf numFmtId="4" fontId="0" fillId="0" borderId="0" xfId="0" applyNumberFormat="1" applyAlignment="1">
      <alignment horizontal="right" indent="1" shrinkToFit="1"/>
    </xf>
    <xf numFmtId="184" fontId="0" fillId="0" borderId="0" xfId="0" applyNumberFormat="1" applyAlignment="1">
      <alignment horizontal="right" indent="1" shrinkToFit="1"/>
    </xf>
    <xf numFmtId="184" fontId="5" fillId="0" borderId="2" xfId="0" applyNumberFormat="1" applyFont="1" applyBorder="1" applyAlignment="1">
      <alignment horizontal="right" indent="1" shrinkToFit="1"/>
    </xf>
    <xf numFmtId="184" fontId="0" fillId="0" borderId="11" xfId="0" applyNumberFormat="1" applyBorder="1" applyAlignment="1">
      <alignment shrinkToFit="1"/>
    </xf>
    <xf numFmtId="184" fontId="0" fillId="0" borderId="9" xfId="0" applyNumberFormat="1" applyBorder="1" applyAlignment="1">
      <alignment shrinkToFit="1"/>
    </xf>
    <xf numFmtId="184" fontId="0" fillId="0" borderId="12" xfId="0" applyNumberFormat="1" applyBorder="1" applyAlignment="1">
      <alignment shrinkToFit="1"/>
    </xf>
    <xf numFmtId="184" fontId="0" fillId="0" borderId="10" xfId="0" applyNumberFormat="1" applyBorder="1" applyAlignment="1">
      <alignment shrinkToFit="1"/>
    </xf>
    <xf numFmtId="184" fontId="0" fillId="0" borderId="0" xfId="0" applyNumberFormat="1" applyAlignment="1">
      <alignment shrinkToFit="1"/>
    </xf>
    <xf numFmtId="184" fontId="0" fillId="0" borderId="13" xfId="0" applyNumberFormat="1" applyBorder="1" applyAlignment="1">
      <alignment shrinkToFit="1"/>
    </xf>
    <xf numFmtId="184" fontId="0" fillId="0" borderId="15" xfId="0" applyNumberFormat="1" applyBorder="1" applyAlignment="1">
      <alignment shrinkToFit="1"/>
    </xf>
    <xf numFmtId="184" fontId="0" fillId="0" borderId="1" xfId="0" applyNumberFormat="1" applyBorder="1" applyAlignment="1">
      <alignment shrinkToFit="1"/>
    </xf>
    <xf numFmtId="184" fontId="0" fillId="0" borderId="54" xfId="0" applyNumberFormat="1" applyBorder="1" applyAlignment="1">
      <alignment shrinkToFit="1"/>
    </xf>
    <xf numFmtId="0" fontId="5" fillId="0" borderId="1" xfId="0" applyFont="1" applyBorder="1"/>
    <xf numFmtId="185" fontId="0" fillId="0" borderId="0" xfId="0" applyNumberFormat="1" applyAlignment="1">
      <alignment horizontal="right" indent="1" shrinkToFit="1"/>
    </xf>
    <xf numFmtId="169" fontId="0" fillId="0" borderId="0" xfId="0" applyNumberFormat="1" applyAlignment="1">
      <alignment horizontal="center" shrinkToFit="1"/>
    </xf>
    <xf numFmtId="164" fontId="0" fillId="19" borderId="56" xfId="0" applyNumberFormat="1" applyFill="1" applyBorder="1" applyAlignment="1">
      <alignment horizontal="right" indent="1" shrinkToFit="1"/>
    </xf>
    <xf numFmtId="164" fontId="0" fillId="19" borderId="58" xfId="0" applyNumberFormat="1" applyFill="1" applyBorder="1" applyAlignment="1">
      <alignment horizontal="right" indent="1" shrinkToFit="1"/>
    </xf>
    <xf numFmtId="164" fontId="0" fillId="19" borderId="60" xfId="0" applyNumberFormat="1" applyFill="1" applyBorder="1" applyAlignment="1">
      <alignment horizontal="right" indent="1" shrinkToFit="1"/>
    </xf>
    <xf numFmtId="0" fontId="11" fillId="4" borderId="6" xfId="3" applyAlignment="1">
      <alignment horizontal="left" indent="1" shrinkToFit="1"/>
    </xf>
    <xf numFmtId="0" fontId="54" fillId="7" borderId="33" xfId="7" applyFont="1" applyFill="1" applyBorder="1" applyAlignment="1">
      <alignment horizontal="left"/>
    </xf>
    <xf numFmtId="0" fontId="54" fillId="0" borderId="46" xfId="7" applyFont="1" applyBorder="1" applyAlignment="1">
      <alignment horizontal="center" vertical="center"/>
    </xf>
    <xf numFmtId="0" fontId="54" fillId="0" borderId="36" xfId="7" applyFont="1" applyBorder="1" applyAlignment="1">
      <alignment horizontal="center" vertical="center"/>
    </xf>
    <xf numFmtId="0" fontId="5" fillId="2" borderId="34" xfId="0" applyFont="1" applyFill="1" applyBorder="1" applyAlignment="1">
      <alignment horizontal="left" wrapText="1" indent="1"/>
    </xf>
    <xf numFmtId="0" fontId="57" fillId="7" borderId="0" xfId="4" applyFont="1" applyFill="1" applyAlignment="1">
      <alignment horizontal="center"/>
    </xf>
    <xf numFmtId="186" fontId="3" fillId="0" borderId="0" xfId="7" applyNumberFormat="1" applyAlignment="1">
      <alignment horizontal="right" shrinkToFit="1"/>
    </xf>
    <xf numFmtId="0" fontId="48" fillId="0" borderId="0" xfId="7" applyFont="1" applyAlignment="1">
      <alignment horizontal="left" indent="1"/>
    </xf>
    <xf numFmtId="0" fontId="19" fillId="7" borderId="33" xfId="7" applyFont="1" applyFill="1" applyBorder="1" applyAlignment="1">
      <alignment horizontal="left"/>
    </xf>
    <xf numFmtId="0" fontId="19" fillId="0" borderId="46" xfId="7" applyFont="1" applyBorder="1" applyAlignment="1">
      <alignment horizontal="center" vertical="center"/>
    </xf>
    <xf numFmtId="0" fontId="19" fillId="0" borderId="36" xfId="7" applyFont="1" applyBorder="1" applyAlignment="1">
      <alignment horizontal="center" vertical="center"/>
    </xf>
    <xf numFmtId="0" fontId="13" fillId="11" borderId="0" xfId="4" applyFont="1" applyFill="1" applyAlignment="1">
      <alignment horizontal="right" indent="7"/>
    </xf>
    <xf numFmtId="0" fontId="5" fillId="0" borderId="0" xfId="0" applyFont="1" applyAlignment="1">
      <alignment horizontal="right" vertical="center" indent="1"/>
    </xf>
    <xf numFmtId="187" fontId="0" fillId="9" borderId="55" xfId="0" applyNumberFormat="1" applyFill="1" applyBorder="1" applyAlignment="1">
      <alignment horizontal="left" indent="1" shrinkToFit="1"/>
    </xf>
    <xf numFmtId="187" fontId="0" fillId="9" borderId="57" xfId="0" applyNumberFormat="1" applyFill="1" applyBorder="1" applyAlignment="1">
      <alignment horizontal="left" indent="1" shrinkToFit="1"/>
    </xf>
    <xf numFmtId="187" fontId="0" fillId="9" borderId="59" xfId="0" applyNumberFormat="1" applyFill="1" applyBorder="1" applyAlignment="1">
      <alignment horizontal="left" indent="1" shrinkToFit="1"/>
    </xf>
    <xf numFmtId="172" fontId="0" fillId="20" borderId="0" xfId="0" applyNumberFormat="1" applyFill="1" applyAlignment="1">
      <alignment shrinkToFit="1"/>
    </xf>
    <xf numFmtId="0" fontId="5" fillId="20" borderId="1" xfId="0" applyFont="1" applyFill="1" applyBorder="1" applyAlignment="1">
      <alignment horizontal="left" vertical="center" wrapText="1" indent="1"/>
    </xf>
    <xf numFmtId="0" fontId="5" fillId="13" borderId="61" xfId="0" applyFont="1" applyFill="1" applyBorder="1" applyAlignment="1">
      <alignment horizontal="left" vertical="center" wrapText="1" indent="1"/>
    </xf>
    <xf numFmtId="0" fontId="0" fillId="9" borderId="62" xfId="0" applyFill="1" applyBorder="1" applyAlignment="1">
      <alignment horizontal="left" indent="1" shrinkToFit="1"/>
    </xf>
    <xf numFmtId="0" fontId="0" fillId="9" borderId="63" xfId="0" applyFill="1" applyBorder="1" applyAlignment="1">
      <alignment horizontal="left" indent="1" shrinkToFit="1"/>
    </xf>
    <xf numFmtId="0" fontId="0" fillId="9" borderId="64" xfId="0" applyFill="1" applyBorder="1" applyAlignment="1">
      <alignment horizontal="left" indent="1" shrinkToFit="1"/>
    </xf>
    <xf numFmtId="0" fontId="5" fillId="0" borderId="0" xfId="0" applyFont="1" applyAlignment="1">
      <alignment horizontal="left" vertical="center" wrapText="1" indent="1"/>
    </xf>
    <xf numFmtId="191" fontId="14" fillId="2" borderId="3" xfId="0" applyNumberFormat="1" applyFont="1" applyFill="1" applyBorder="1" applyAlignment="1">
      <alignment horizontal="right" indent="1"/>
    </xf>
    <xf numFmtId="192" fontId="10" fillId="3" borderId="5" xfId="2" applyNumberFormat="1" applyAlignment="1">
      <alignment horizontal="right" indent="1" shrinkToFit="1"/>
    </xf>
    <xf numFmtId="193" fontId="10" fillId="3" borderId="5" xfId="2" applyNumberFormat="1" applyAlignment="1">
      <alignment horizontal="right" indent="1" shrinkToFit="1"/>
    </xf>
    <xf numFmtId="0" fontId="0" fillId="0" borderId="66" xfId="0" applyBorder="1"/>
    <xf numFmtId="169" fontId="0" fillId="2" borderId="8" xfId="0" applyNumberFormat="1" applyFill="1" applyBorder="1" applyAlignment="1">
      <alignment horizontal="right" indent="1"/>
    </xf>
    <xf numFmtId="0" fontId="0" fillId="0" borderId="34" xfId="0" applyBorder="1"/>
    <xf numFmtId="168" fontId="0" fillId="2" borderId="35" xfId="0" applyNumberFormat="1" applyFill="1" applyBorder="1" applyAlignment="1">
      <alignment horizontal="right" indent="1" shrinkToFit="1"/>
    </xf>
    <xf numFmtId="0" fontId="0" fillId="0" borderId="0" xfId="7" applyFont="1" applyAlignment="1">
      <alignment horizontal="left" indent="1"/>
    </xf>
    <xf numFmtId="0" fontId="42" fillId="0" borderId="0" xfId="7" applyFont="1" applyAlignment="1">
      <alignment horizontal="left" indent="1"/>
    </xf>
    <xf numFmtId="0" fontId="5" fillId="0" borderId="0" xfId="7" applyFont="1" applyAlignment="1">
      <alignment horizontal="left" indent="1"/>
    </xf>
    <xf numFmtId="0" fontId="0" fillId="0" borderId="0" xfId="7" applyFont="1" applyAlignment="1">
      <alignment horizontal="right" indent="1"/>
    </xf>
    <xf numFmtId="0" fontId="1" fillId="0" borderId="0" xfId="7" applyFont="1" applyAlignment="1">
      <alignment horizontal="right" indent="1"/>
    </xf>
    <xf numFmtId="0" fontId="11" fillId="0" borderId="0" xfId="3" applyNumberFormat="1" applyFill="1" applyBorder="1" applyAlignment="1">
      <alignment horizontal="left" vertical="center" indent="4" shrinkToFit="1"/>
    </xf>
    <xf numFmtId="49" fontId="11" fillId="0" borderId="0" xfId="3" applyNumberFormat="1" applyFill="1" applyBorder="1" applyAlignment="1">
      <alignment horizontal="left" vertical="center" indent="4" shrinkToFit="1"/>
    </xf>
    <xf numFmtId="0" fontId="0" fillId="0" borderId="0" xfId="0" applyAlignment="1">
      <alignment horizontal="right" vertical="center" indent="1"/>
    </xf>
    <xf numFmtId="3" fontId="55" fillId="22" borderId="69" xfId="8" applyNumberFormat="1" applyFill="1" applyBorder="1" applyAlignment="1">
      <alignment horizontal="right" indent="1" shrinkToFit="1"/>
    </xf>
    <xf numFmtId="194" fontId="55" fillId="22" borderId="69" xfId="8" applyNumberFormat="1" applyFill="1" applyBorder="1" applyAlignment="1">
      <alignment horizontal="right" indent="1"/>
    </xf>
    <xf numFmtId="168" fontId="55" fillId="22" borderId="68" xfId="8" applyNumberFormat="1" applyFill="1" applyBorder="1" applyAlignment="1">
      <alignment horizontal="right" indent="1" shrinkToFit="1"/>
    </xf>
    <xf numFmtId="194" fontId="55" fillId="22" borderId="68" xfId="8" applyNumberFormat="1" applyFill="1" applyBorder="1" applyAlignment="1">
      <alignment horizontal="right" indent="1"/>
    </xf>
    <xf numFmtId="0" fontId="55" fillId="22" borderId="70" xfId="8" applyFill="1" applyBorder="1" applyAlignment="1">
      <alignment horizontal="left" indent="1"/>
    </xf>
    <xf numFmtId="0" fontId="0" fillId="0" borderId="42" xfId="7" applyFont="1" applyBorder="1" applyAlignment="1">
      <alignment horizontal="right"/>
    </xf>
    <xf numFmtId="0" fontId="0" fillId="0" borderId="40" xfId="7" applyFont="1" applyBorder="1"/>
    <xf numFmtId="0" fontId="1" fillId="0" borderId="11" xfId="7" applyFont="1" applyBorder="1"/>
    <xf numFmtId="0" fontId="0" fillId="0" borderId="45" xfId="7" applyFont="1" applyBorder="1" applyAlignment="1">
      <alignment horizontal="left" indent="1"/>
    </xf>
    <xf numFmtId="0" fontId="16" fillId="0" borderId="0" xfId="0" applyFont="1" applyAlignment="1">
      <alignment horizontal="left" indent="1"/>
    </xf>
    <xf numFmtId="0" fontId="3" fillId="10" borderId="0" xfId="7" applyFill="1"/>
    <xf numFmtId="0" fontId="0" fillId="0" borderId="0" xfId="0" applyAlignment="1">
      <alignment horizontal="left" indent="4"/>
    </xf>
    <xf numFmtId="0" fontId="0" fillId="0" borderId="0" xfId="0" applyAlignment="1">
      <alignment horizontal="left" indent="9"/>
    </xf>
    <xf numFmtId="0" fontId="0" fillId="0" borderId="0" xfId="0" applyAlignment="1">
      <alignment horizontal="left" indent="14"/>
    </xf>
    <xf numFmtId="0" fontId="0" fillId="0" borderId="0" xfId="0" applyAlignment="1">
      <alignment horizontal="left" indent="33"/>
    </xf>
    <xf numFmtId="0" fontId="5" fillId="0" borderId="1" xfId="0" applyFont="1" applyBorder="1" applyAlignment="1">
      <alignment horizontal="left" vertical="center" indent="33"/>
    </xf>
    <xf numFmtId="167" fontId="5" fillId="2" borderId="3" xfId="0" applyNumberFormat="1" applyFont="1" applyFill="1" applyBorder="1" applyAlignment="1">
      <alignment horizontal="left" indent="4"/>
    </xf>
    <xf numFmtId="167" fontId="5" fillId="2" borderId="3" xfId="0" applyNumberFormat="1" applyFont="1" applyFill="1" applyBorder="1" applyAlignment="1">
      <alignment horizontal="left" indent="9"/>
    </xf>
    <xf numFmtId="0" fontId="0" fillId="0" borderId="2" xfId="0" applyBorder="1" applyAlignment="1">
      <alignment horizontal="left" indent="9"/>
    </xf>
    <xf numFmtId="167" fontId="5" fillId="2" borderId="3" xfId="0" applyNumberFormat="1" applyFont="1" applyFill="1" applyBorder="1" applyAlignment="1">
      <alignment horizontal="left" indent="14"/>
    </xf>
    <xf numFmtId="0" fontId="0" fillId="0" borderId="2" xfId="0" applyBorder="1" applyAlignment="1">
      <alignment horizontal="left" indent="14"/>
    </xf>
    <xf numFmtId="0" fontId="52" fillId="0" borderId="0" xfId="0" applyFont="1" applyAlignment="1">
      <alignment horizontal="left" indent="4"/>
    </xf>
    <xf numFmtId="0" fontId="21" fillId="10" borderId="0" xfId="5" applyFill="1"/>
    <xf numFmtId="0" fontId="22" fillId="10" borderId="0" xfId="5" applyFont="1" applyFill="1" applyAlignment="1">
      <alignment horizontal="center"/>
    </xf>
    <xf numFmtId="0" fontId="27" fillId="10" borderId="0" xfId="5" applyFont="1" applyFill="1"/>
    <xf numFmtId="0" fontId="0" fillId="0" borderId="76" xfId="0" applyBorder="1"/>
    <xf numFmtId="0" fontId="0" fillId="0" borderId="79" xfId="0" applyBorder="1"/>
    <xf numFmtId="0" fontId="0" fillId="23" borderId="9" xfId="0" applyFill="1" applyBorder="1" applyAlignment="1">
      <alignment horizontal="left" indent="1"/>
    </xf>
    <xf numFmtId="0" fontId="0" fillId="24" borderId="0" xfId="0" applyFill="1"/>
    <xf numFmtId="0" fontId="0" fillId="25" borderId="14" xfId="0" applyFill="1" applyBorder="1" applyAlignment="1">
      <alignment horizontal="center"/>
    </xf>
    <xf numFmtId="0" fontId="0" fillId="25" borderId="0" xfId="0" applyFill="1"/>
    <xf numFmtId="0" fontId="0" fillId="0" borderId="80" xfId="0" applyBorder="1" applyAlignment="1">
      <alignment horizontal="right" vertical="center" indent="1"/>
    </xf>
    <xf numFmtId="172" fontId="5" fillId="21" borderId="81" xfId="0" applyNumberFormat="1" applyFont="1" applyFill="1" applyBorder="1" applyAlignment="1">
      <alignment horizontal="right" vertical="center" indent="1" shrinkToFit="1"/>
    </xf>
    <xf numFmtId="188" fontId="0" fillId="0" borderId="82" xfId="0" applyNumberFormat="1" applyBorder="1" applyAlignment="1">
      <alignment horizontal="right" vertical="center" indent="1" shrinkToFit="1"/>
    </xf>
    <xf numFmtId="0" fontId="0" fillId="0" borderId="61" xfId="0" applyBorder="1" applyAlignment="1">
      <alignment horizontal="right" vertical="center" indent="1"/>
    </xf>
    <xf numFmtId="164" fontId="10" fillId="3" borderId="5" xfId="2" applyNumberFormat="1" applyAlignment="1" applyProtection="1">
      <alignment horizontal="right" indent="1" shrinkToFit="1"/>
    </xf>
    <xf numFmtId="175" fontId="10" fillId="3" borderId="5" xfId="2" applyNumberFormat="1" applyAlignment="1" applyProtection="1">
      <alignment horizontal="right" indent="1" shrinkToFit="1"/>
    </xf>
    <xf numFmtId="0" fontId="10" fillId="3" borderId="5" xfId="2" applyAlignment="1" applyProtection="1">
      <alignment horizontal="right" indent="1" shrinkToFit="1"/>
    </xf>
    <xf numFmtId="174" fontId="10" fillId="3" borderId="5" xfId="2" applyNumberFormat="1" applyAlignment="1" applyProtection="1">
      <alignment horizontal="right" indent="1" shrinkToFit="1"/>
      <protection locked="0"/>
    </xf>
    <xf numFmtId="0" fontId="10" fillId="3" borderId="5" xfId="2" applyAlignment="1" applyProtection="1">
      <alignment horizontal="right" indent="1" shrinkToFit="1"/>
      <protection locked="0"/>
    </xf>
    <xf numFmtId="165" fontId="10" fillId="3" borderId="5" xfId="2" applyNumberFormat="1" applyAlignment="1" applyProtection="1">
      <alignment horizontal="right" vertical="center" indent="1" shrinkToFit="1"/>
      <protection locked="0"/>
    </xf>
    <xf numFmtId="164" fontId="10" fillId="3" borderId="5" xfId="2" applyNumberFormat="1" applyAlignment="1" applyProtection="1">
      <alignment horizontal="right" indent="1" shrinkToFit="1"/>
      <protection locked="0"/>
    </xf>
    <xf numFmtId="165" fontId="10" fillId="3" borderId="5" xfId="2" applyNumberFormat="1" applyAlignment="1" applyProtection="1">
      <alignment horizontal="right" vertical="center" indent="1" shrinkToFit="1"/>
    </xf>
    <xf numFmtId="168" fontId="11" fillId="4" borderId="6" xfId="3" applyNumberFormat="1" applyAlignment="1">
      <alignment shrinkToFit="1"/>
    </xf>
    <xf numFmtId="1" fontId="11" fillId="4" borderId="6" xfId="3" applyNumberFormat="1" applyAlignment="1">
      <alignment horizontal="right" indent="1"/>
    </xf>
    <xf numFmtId="164" fontId="0" fillId="22" borderId="70" xfId="0" applyNumberFormat="1" applyFill="1" applyBorder="1" applyAlignment="1">
      <alignment horizontal="right" indent="1" shrinkToFit="1"/>
    </xf>
    <xf numFmtId="164" fontId="0" fillId="22" borderId="69" xfId="0" applyNumberFormat="1" applyFill="1" applyBorder="1" applyAlignment="1">
      <alignment horizontal="right" indent="1" shrinkToFit="1"/>
    </xf>
    <xf numFmtId="182" fontId="0" fillId="22" borderId="69" xfId="0" applyNumberFormat="1" applyFill="1" applyBorder="1" applyAlignment="1">
      <alignment horizontal="right" indent="1" shrinkToFit="1"/>
    </xf>
    <xf numFmtId="168" fontId="0" fillId="22" borderId="70" xfId="0" applyNumberFormat="1" applyFill="1" applyBorder="1" applyAlignment="1">
      <alignment horizontal="right" indent="1" shrinkToFit="1"/>
    </xf>
    <xf numFmtId="183" fontId="0" fillId="22" borderId="69" xfId="0" applyNumberFormat="1" applyFill="1" applyBorder="1" applyAlignment="1">
      <alignment horizontal="right" indent="1" shrinkToFit="1"/>
    </xf>
    <xf numFmtId="194" fontId="0" fillId="22" borderId="68" xfId="0" applyNumberFormat="1" applyFill="1" applyBorder="1" applyAlignment="1">
      <alignment horizontal="right" indent="1"/>
    </xf>
    <xf numFmtId="168" fontId="0" fillId="26" borderId="84" xfId="0" applyNumberFormat="1" applyFill="1" applyBorder="1" applyAlignment="1">
      <alignment horizontal="right" indent="1" shrinkToFit="1"/>
    </xf>
    <xf numFmtId="194" fontId="0" fillId="26" borderId="85" xfId="0" applyNumberFormat="1" applyFill="1" applyBorder="1" applyAlignment="1">
      <alignment horizontal="right" indent="1"/>
    </xf>
    <xf numFmtId="168" fontId="0" fillId="26" borderId="86" xfId="0" applyNumberFormat="1" applyFill="1" applyBorder="1" applyAlignment="1">
      <alignment horizontal="right" indent="1" shrinkToFit="1"/>
    </xf>
    <xf numFmtId="194" fontId="0" fillId="26" borderId="87" xfId="0" applyNumberFormat="1" applyFill="1" applyBorder="1" applyAlignment="1">
      <alignment horizontal="right" indent="1"/>
    </xf>
    <xf numFmtId="168" fontId="0" fillId="26" borderId="83" xfId="0" applyNumberFormat="1" applyFill="1" applyBorder="1" applyAlignment="1">
      <alignment horizontal="right" indent="1" shrinkToFit="1"/>
    </xf>
    <xf numFmtId="168" fontId="0" fillId="26" borderId="88" xfId="0" applyNumberFormat="1" applyFill="1" applyBorder="1" applyAlignment="1">
      <alignment horizontal="right" indent="1" shrinkToFit="1"/>
    </xf>
    <xf numFmtId="194" fontId="0" fillId="26" borderId="83" xfId="0" applyNumberFormat="1" applyFill="1" applyBorder="1" applyAlignment="1">
      <alignment horizontal="right" indent="1"/>
    </xf>
    <xf numFmtId="194" fontId="0" fillId="26" borderId="88" xfId="0" applyNumberFormat="1" applyFill="1" applyBorder="1" applyAlignment="1">
      <alignment horizontal="right" indent="1"/>
    </xf>
    <xf numFmtId="190" fontId="0" fillId="26" borderId="69" xfId="0" applyNumberFormat="1" applyFill="1" applyBorder="1" applyAlignment="1">
      <alignment horizontal="right" indent="1"/>
    </xf>
    <xf numFmtId="165" fontId="0" fillId="26" borderId="69" xfId="0" applyNumberFormat="1" applyFill="1" applyBorder="1" applyAlignment="1">
      <alignment horizontal="right" indent="1"/>
    </xf>
    <xf numFmtId="166" fontId="0" fillId="26" borderId="69" xfId="0" applyNumberFormat="1" applyFill="1" applyBorder="1" applyAlignment="1">
      <alignment horizontal="right" indent="1"/>
    </xf>
    <xf numFmtId="189" fontId="0" fillId="26" borderId="69" xfId="0" applyNumberFormat="1" applyFill="1" applyBorder="1" applyAlignment="1">
      <alignment horizontal="right" indent="1"/>
    </xf>
    <xf numFmtId="168" fontId="0" fillId="26" borderId="89" xfId="0" applyNumberFormat="1" applyFill="1" applyBorder="1" applyAlignment="1">
      <alignment horizontal="right" indent="1" shrinkToFit="1"/>
    </xf>
    <xf numFmtId="194" fontId="0" fillId="26" borderId="89" xfId="0" applyNumberFormat="1" applyFill="1" applyBorder="1" applyAlignment="1">
      <alignment horizontal="right" indent="1"/>
    </xf>
    <xf numFmtId="168" fontId="0" fillId="26" borderId="69" xfId="0" applyNumberFormat="1" applyFill="1" applyBorder="1" applyAlignment="1">
      <alignment horizontal="right" indent="1" shrinkToFit="1"/>
    </xf>
    <xf numFmtId="194" fontId="0" fillId="26" borderId="69" xfId="0" applyNumberFormat="1" applyFill="1" applyBorder="1" applyAlignment="1">
      <alignment horizontal="right" indent="1"/>
    </xf>
    <xf numFmtId="168" fontId="0" fillId="26" borderId="90" xfId="0" applyNumberFormat="1" applyFill="1" applyBorder="1" applyAlignment="1">
      <alignment horizontal="right" indent="1" shrinkToFit="1"/>
    </xf>
    <xf numFmtId="194" fontId="0" fillId="26" borderId="90" xfId="0" applyNumberFormat="1" applyFill="1" applyBorder="1" applyAlignment="1">
      <alignment horizontal="right" indent="1"/>
    </xf>
    <xf numFmtId="168" fontId="0" fillId="27" borderId="8" xfId="0" applyNumberFormat="1" applyFill="1" applyBorder="1" applyAlignment="1">
      <alignment horizontal="center" shrinkToFit="1"/>
    </xf>
    <xf numFmtId="49" fontId="0" fillId="27" borderId="8" xfId="0" quotePrefix="1" applyNumberFormat="1" applyFill="1" applyBorder="1" applyAlignment="1">
      <alignment horizontal="center" shrinkToFit="1"/>
    </xf>
    <xf numFmtId="4" fontId="0" fillId="26" borderId="68" xfId="0" applyNumberFormat="1" applyFill="1" applyBorder="1" applyAlignment="1">
      <alignment horizontal="right" indent="1" shrinkToFit="1"/>
    </xf>
    <xf numFmtId="0" fontId="0" fillId="0" borderId="74" xfId="0" applyBorder="1" applyAlignment="1">
      <alignment horizontal="left" vertical="center" wrapText="1" indent="1"/>
    </xf>
    <xf numFmtId="0" fontId="0" fillId="0" borderId="75" xfId="0" applyBorder="1" applyAlignment="1">
      <alignment horizontal="left" vertical="center" wrapText="1" indent="1"/>
    </xf>
    <xf numFmtId="0" fontId="0" fillId="0" borderId="77" xfId="0" applyBorder="1" applyAlignment="1">
      <alignment horizontal="left" vertical="center" wrapText="1" indent="1"/>
    </xf>
    <xf numFmtId="0" fontId="0" fillId="0" borderId="78" xfId="0" applyBorder="1" applyAlignment="1">
      <alignment horizontal="left" vertical="center" wrapText="1" indent="1"/>
    </xf>
    <xf numFmtId="0" fontId="0" fillId="9" borderId="29" xfId="0" applyFill="1" applyBorder="1" applyAlignment="1">
      <alignment horizontal="left" indent="1" shrinkToFit="1"/>
    </xf>
    <xf numFmtId="0" fontId="0" fillId="0" borderId="0" xfId="0" applyAlignment="1">
      <alignment horizontal="left" indent="1" shrinkToFit="1"/>
    </xf>
    <xf numFmtId="0" fontId="5" fillId="8" borderId="10" xfId="0" applyFont="1" applyFill="1" applyBorder="1" applyAlignment="1">
      <alignment horizontal="center" shrinkToFit="1"/>
    </xf>
    <xf numFmtId="0" fontId="5" fillId="8" borderId="0" xfId="0" applyFont="1" applyFill="1" applyAlignment="1">
      <alignment horizontal="center" shrinkToFit="1"/>
    </xf>
    <xf numFmtId="0" fontId="0" fillId="0" borderId="0" xfId="0" applyAlignment="1">
      <alignment horizontal="center" shrinkToFit="1"/>
    </xf>
    <xf numFmtId="0" fontId="53" fillId="0" borderId="67" xfId="0" applyFont="1" applyBorder="1" applyAlignment="1">
      <alignment horizontal="center" vertical="center" wrapText="1"/>
    </xf>
    <xf numFmtId="0" fontId="53" fillId="0" borderId="65" xfId="0" applyFont="1"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9" fillId="0" borderId="0" xfId="0" applyFont="1" applyAlignment="1">
      <alignment horizontal="right" vertical="center" wrapText="1"/>
    </xf>
    <xf numFmtId="0" fontId="8" fillId="2" borderId="8" xfId="0" applyFont="1" applyFill="1" applyBorder="1" applyAlignment="1">
      <alignment horizontal="left" indent="1" shrinkToFit="1"/>
    </xf>
    <xf numFmtId="0" fontId="0" fillId="0" borderId="8" xfId="0" applyBorder="1" applyAlignment="1">
      <alignment horizontal="left" indent="1" shrinkToFit="1"/>
    </xf>
    <xf numFmtId="168" fontId="55" fillId="22" borderId="71" xfId="8" applyNumberFormat="1" applyFill="1" applyBorder="1" applyAlignment="1">
      <alignment horizontal="right" indent="1" shrinkToFit="1"/>
    </xf>
    <xf numFmtId="0" fontId="55" fillId="22" borderId="72" xfId="8" applyFill="1" applyBorder="1" applyAlignment="1">
      <alignment horizontal="right" indent="1" shrinkToFit="1"/>
    </xf>
    <xf numFmtId="0" fontId="55" fillId="22" borderId="73" xfId="8" applyFill="1" applyBorder="1" applyAlignment="1">
      <alignment horizontal="right" indent="1" shrinkToFit="1"/>
    </xf>
    <xf numFmtId="0" fontId="0" fillId="0" borderId="9" xfId="0" applyBorder="1" applyAlignment="1">
      <alignment horizontal="center" vertical="center" wrapText="1"/>
    </xf>
    <xf numFmtId="0" fontId="5" fillId="7" borderId="33" xfId="0" applyFont="1" applyFill="1" applyBorder="1" applyAlignment="1">
      <alignment horizontal="left" wrapText="1" indent="1"/>
    </xf>
    <xf numFmtId="0" fontId="0" fillId="0" borderId="2" xfId="0" applyBorder="1" applyAlignment="1">
      <alignment horizontal="left" wrapText="1" indent="1"/>
    </xf>
    <xf numFmtId="0" fontId="0" fillId="7" borderId="32" xfId="0" applyFill="1" applyBorder="1" applyAlignment="1">
      <alignment horizontal="left" indent="1" shrinkToFit="1"/>
    </xf>
    <xf numFmtId="0" fontId="0" fillId="7" borderId="0" xfId="0" applyFill="1" applyAlignment="1">
      <alignment horizontal="left" indent="1" shrinkToFit="1"/>
    </xf>
    <xf numFmtId="0" fontId="0" fillId="7" borderId="30" xfId="0" applyFill="1" applyBorder="1" applyAlignment="1">
      <alignment horizontal="left" indent="1" shrinkToFit="1"/>
    </xf>
    <xf numFmtId="0" fontId="0" fillId="7" borderId="7" xfId="0" applyFill="1" applyBorder="1" applyAlignment="1">
      <alignment horizontal="left" indent="1" shrinkToFit="1"/>
    </xf>
    <xf numFmtId="0" fontId="16" fillId="0" borderId="0" xfId="0" applyFont="1" applyAlignment="1">
      <alignment horizontal="left" indent="1" shrinkToFit="1"/>
    </xf>
    <xf numFmtId="0" fontId="12" fillId="2" borderId="0" xfId="7" applyFont="1" applyFill="1" applyAlignment="1">
      <alignment horizontal="left" wrapText="1" indent="1"/>
    </xf>
    <xf numFmtId="0" fontId="3" fillId="0" borderId="31" xfId="7" applyBorder="1" applyAlignment="1">
      <alignment horizontal="left" vertical="top" wrapText="1" indent="1"/>
    </xf>
    <xf numFmtId="0" fontId="0" fillId="0" borderId="35" xfId="7" applyFont="1" applyBorder="1" applyAlignment="1">
      <alignment horizontal="left" vertical="center" indent="1" shrinkToFit="1"/>
    </xf>
    <xf numFmtId="0" fontId="3" fillId="0" borderId="8" xfId="7" applyBorder="1" applyAlignment="1">
      <alignment horizontal="left" vertical="center" indent="1" shrinkToFit="1"/>
    </xf>
    <xf numFmtId="0" fontId="3" fillId="0" borderId="34" xfId="7" applyBorder="1" applyAlignment="1">
      <alignment horizontal="left" vertical="center" indent="1" shrinkToFit="1"/>
    </xf>
    <xf numFmtId="0" fontId="0" fillId="7" borderId="30" xfId="7" applyFont="1" applyFill="1" applyBorder="1" applyAlignment="1">
      <alignment horizontal="left" vertical="center" wrapText="1" indent="1"/>
    </xf>
    <xf numFmtId="0" fontId="3" fillId="0" borderId="7" xfId="7" applyBorder="1" applyAlignment="1">
      <alignment horizontal="left" vertical="center" wrapText="1" indent="1"/>
    </xf>
    <xf numFmtId="0" fontId="3" fillId="7" borderId="30" xfId="7" applyFill="1" applyBorder="1" applyAlignment="1">
      <alignment horizontal="left" vertical="center" wrapText="1" indent="1"/>
    </xf>
    <xf numFmtId="0" fontId="0" fillId="7" borderId="35" xfId="7" applyFont="1" applyFill="1" applyBorder="1" applyAlignment="1">
      <alignment horizontal="left" wrapText="1" indent="1"/>
    </xf>
    <xf numFmtId="0" fontId="0" fillId="7" borderId="8" xfId="7" applyFont="1" applyFill="1" applyBorder="1" applyAlignment="1">
      <alignment horizontal="left" wrapText="1" indent="1"/>
    </xf>
    <xf numFmtId="2" fontId="11" fillId="4" borderId="6" xfId="3" applyNumberFormat="1" applyAlignment="1">
      <alignment horizontal="left" indent="1" shrinkToFit="1"/>
    </xf>
    <xf numFmtId="9" fontId="10" fillId="3" borderId="5" xfId="2" applyNumberFormat="1" applyAlignment="1">
      <alignment horizontal="left" vertical="center" wrapText="1" indent="1"/>
    </xf>
    <xf numFmtId="0" fontId="10" fillId="3" borderId="5" xfId="2" applyAlignment="1">
      <alignment horizontal="left" vertical="center" wrapText="1" indent="1"/>
    </xf>
    <xf numFmtId="49" fontId="11" fillId="4" borderId="49" xfId="3" applyNumberFormat="1" applyBorder="1" applyAlignment="1">
      <alignment horizontal="left" indent="1" shrinkToFit="1"/>
    </xf>
    <xf numFmtId="0" fontId="0" fillId="0" borderId="50" xfId="0" applyBorder="1" applyAlignment="1">
      <alignment horizontal="left" indent="1" shrinkToFit="1"/>
    </xf>
    <xf numFmtId="0" fontId="0" fillId="0" borderId="51" xfId="0" applyBorder="1" applyAlignment="1">
      <alignment horizontal="left" indent="1" shrinkToFit="1"/>
    </xf>
    <xf numFmtId="9" fontId="11" fillId="0" borderId="52" xfId="3" applyNumberFormat="1" applyFill="1" applyBorder="1" applyAlignment="1">
      <alignment horizontal="left" indent="1"/>
    </xf>
    <xf numFmtId="0" fontId="0" fillId="0" borderId="0" xfId="0" applyAlignment="1">
      <alignment horizontal="left" indent="1"/>
    </xf>
    <xf numFmtId="0" fontId="3" fillId="18" borderId="30" xfId="7" applyFill="1" applyBorder="1" applyAlignment="1">
      <alignment horizontal="left" vertical="center" wrapText="1" indent="1"/>
    </xf>
    <xf numFmtId="0" fontId="3" fillId="18" borderId="7" xfId="7" applyFill="1" applyBorder="1" applyAlignment="1">
      <alignment horizontal="left" vertical="center" wrapText="1" indent="1"/>
    </xf>
    <xf numFmtId="0" fontId="0" fillId="18" borderId="30" xfId="7" applyFont="1" applyFill="1" applyBorder="1" applyAlignment="1">
      <alignment horizontal="left" vertical="center" wrapText="1" indent="1"/>
    </xf>
    <xf numFmtId="9" fontId="11" fillId="4" borderId="6" xfId="3" applyNumberFormat="1" applyAlignment="1">
      <alignment horizontal="left" indent="1" shrinkToFit="1"/>
    </xf>
    <xf numFmtId="0" fontId="0" fillId="0" borderId="31" xfId="7" applyFont="1" applyBorder="1" applyAlignment="1">
      <alignment horizontal="left" vertical="top" wrapText="1" indent="1"/>
    </xf>
    <xf numFmtId="0" fontId="0" fillId="0" borderId="0" xfId="7" applyFont="1" applyAlignment="1">
      <alignment horizontal="left" vertical="top" wrapText="1" indent="1"/>
    </xf>
    <xf numFmtId="0" fontId="41" fillId="17" borderId="0" xfId="5" applyFont="1" applyFill="1" applyAlignment="1">
      <alignment horizontal="left" vertical="center" indent="1" shrinkToFit="1"/>
    </xf>
    <xf numFmtId="0" fontId="8" fillId="17" borderId="0" xfId="0" applyFont="1" applyFill="1" applyAlignment="1">
      <alignment horizontal="left" vertical="center" indent="1" shrinkToFit="1"/>
    </xf>
    <xf numFmtId="0" fontId="22" fillId="0" borderId="0" xfId="5" applyFont="1" applyAlignment="1">
      <alignment horizontal="left" indent="1"/>
    </xf>
    <xf numFmtId="0" fontId="21" fillId="0" borderId="0" xfId="5" applyAlignment="1">
      <alignment horizontal="left" indent="1"/>
    </xf>
    <xf numFmtId="0" fontId="22" fillId="15" borderId="35" xfId="5" applyFont="1" applyFill="1" applyBorder="1" applyAlignment="1">
      <alignment horizontal="center"/>
    </xf>
    <xf numFmtId="0" fontId="22" fillId="15" borderId="8" xfId="5" applyFont="1" applyFill="1" applyBorder="1" applyAlignment="1">
      <alignment horizontal="center"/>
    </xf>
    <xf numFmtId="0" fontId="22" fillId="15" borderId="34" xfId="5" applyFont="1" applyFill="1" applyBorder="1" applyAlignment="1">
      <alignment horizontal="center"/>
    </xf>
    <xf numFmtId="0" fontId="22" fillId="15" borderId="33" xfId="5" applyFont="1" applyFill="1" applyBorder="1" applyAlignment="1">
      <alignment horizontal="center"/>
    </xf>
    <xf numFmtId="0" fontId="22" fillId="15" borderId="2" xfId="5" applyFont="1" applyFill="1" applyBorder="1" applyAlignment="1">
      <alignment horizontal="center"/>
    </xf>
    <xf numFmtId="0" fontId="22" fillId="15" borderId="16" xfId="5" applyFont="1" applyFill="1" applyBorder="1" applyAlignment="1">
      <alignment horizontal="center"/>
    </xf>
    <xf numFmtId="177" fontId="23" fillId="13" borderId="0" xfId="5" quotePrefix="1" applyNumberFormat="1" applyFont="1" applyFill="1" applyAlignment="1">
      <alignment horizontal="right" vertical="center" indent="1" shrinkToFit="1"/>
    </xf>
    <xf numFmtId="177" fontId="21" fillId="13" borderId="0" xfId="5" applyNumberFormat="1" applyFill="1" applyAlignment="1">
      <alignment horizontal="right" vertical="center" indent="1" shrinkToFit="1"/>
    </xf>
    <xf numFmtId="0" fontId="28" fillId="0" borderId="0" xfId="5" applyFont="1" applyAlignment="1">
      <alignment horizontal="left" vertical="center" indent="1" shrinkToFit="1"/>
    </xf>
    <xf numFmtId="0" fontId="28" fillId="0" borderId="0" xfId="5" applyFont="1" applyAlignment="1">
      <alignment horizontal="left" vertical="center" indent="1"/>
    </xf>
    <xf numFmtId="0" fontId="1" fillId="7" borderId="0" xfId="4" applyFont="1" applyFill="1" applyAlignment="1">
      <alignment horizontal="left" indent="1"/>
    </xf>
    <xf numFmtId="0" fontId="1" fillId="7" borderId="0" xfId="4" applyFont="1" applyFill="1" applyAlignment="1">
      <alignment horizontal="right" indent="1"/>
    </xf>
    <xf numFmtId="0" fontId="1" fillId="0" borderId="31" xfId="7" applyFont="1" applyBorder="1" applyAlignment="1">
      <alignment horizontal="left" vertical="top" wrapText="1" indent="1"/>
    </xf>
    <xf numFmtId="0" fontId="1" fillId="7" borderId="33" xfId="7" applyFont="1" applyFill="1" applyBorder="1" applyAlignment="1">
      <alignment horizontal="left"/>
    </xf>
    <xf numFmtId="0" fontId="1" fillId="18" borderId="33" xfId="7" applyFont="1" applyFill="1" applyBorder="1" applyAlignment="1">
      <alignment horizontal="left"/>
    </xf>
    <xf numFmtId="0" fontId="1" fillId="0" borderId="1" xfId="7" applyFont="1" applyBorder="1" applyAlignment="1">
      <alignment horizontal="left" indent="1"/>
    </xf>
    <xf numFmtId="0" fontId="1" fillId="0" borderId="46" xfId="7" applyFont="1" applyBorder="1" applyAlignment="1">
      <alignment horizontal="center" vertical="center"/>
    </xf>
    <xf numFmtId="0" fontId="1" fillId="18" borderId="46" xfId="7" applyFont="1" applyFill="1" applyBorder="1" applyAlignment="1">
      <alignment horizontal="center" vertical="center"/>
    </xf>
    <xf numFmtId="0" fontId="1" fillId="0" borderId="36" xfId="7" applyFont="1" applyBorder="1" applyAlignment="1">
      <alignment horizontal="center" vertical="center"/>
    </xf>
    <xf numFmtId="0" fontId="1" fillId="18" borderId="36" xfId="7" applyFont="1" applyFill="1" applyBorder="1" applyAlignment="1">
      <alignment horizontal="center" vertical="center"/>
    </xf>
    <xf numFmtId="0" fontId="1" fillId="0" borderId="0" xfId="7" applyFont="1"/>
    <xf numFmtId="0" fontId="1" fillId="10" borderId="0" xfId="4" applyFont="1" applyFill="1" applyAlignment="1">
      <alignment wrapText="1"/>
    </xf>
  </cellXfs>
  <cellStyles count="10">
    <cellStyle name="Input 2" xfId="8" xr:uid="{00000000-0005-0000-0000-000001000000}"/>
    <cellStyle name="Invoer" xfId="2" builtinId="20"/>
    <cellStyle name="Normal 2" xfId="4" xr:uid="{00000000-0005-0000-0000-000003000000}"/>
    <cellStyle name="Normal 3" xfId="5" xr:uid="{00000000-0005-0000-0000-000004000000}"/>
    <cellStyle name="Normal 4" xfId="7" xr:uid="{00000000-0005-0000-0000-000005000000}"/>
    <cellStyle name="Normal 4 2" xfId="9" xr:uid="{00000000-0005-0000-0000-000006000000}"/>
    <cellStyle name="Percent 2" xfId="6" xr:uid="{00000000-0005-0000-0000-000009000000}"/>
    <cellStyle name="Procent" xfId="1" builtinId="5"/>
    <cellStyle name="Standaard" xfId="0" builtinId="0"/>
    <cellStyle name="Uitvoer" xfId="3" builtinId="21"/>
  </cellStyles>
  <dxfs count="24">
    <dxf>
      <fill>
        <patternFill>
          <bgColor rgb="FFFFFF00"/>
        </patternFill>
      </fill>
    </dxf>
    <dxf>
      <fill>
        <patternFill>
          <bgColor rgb="FFFFFF00"/>
        </patternFill>
      </fill>
    </dxf>
    <dxf>
      <fill>
        <patternFill>
          <bgColor indexed="10"/>
        </patternFill>
      </fill>
    </dxf>
    <dxf>
      <fill>
        <gradientFill>
          <stop position="0">
            <color rgb="FFFFCC99"/>
          </stop>
          <stop position="1">
            <color rgb="FFFF7C80"/>
          </stop>
        </gradientFill>
      </fill>
    </dxf>
    <dxf>
      <fill>
        <gradientFill degree="180">
          <stop position="0">
            <color rgb="FFFF7C80"/>
          </stop>
          <stop position="1">
            <color rgb="FFFFCC99"/>
          </stop>
        </gradientFill>
      </fill>
    </dxf>
    <dxf>
      <fill>
        <gradientFill degree="180">
          <stop position="0">
            <color rgb="FFCCFFCC"/>
          </stop>
          <stop position="1">
            <color rgb="FFFFCC99"/>
          </stop>
        </gradientFill>
      </fill>
    </dxf>
    <dxf>
      <fill>
        <patternFill>
          <bgColor indexed="10"/>
        </patternFill>
      </fill>
    </dxf>
    <dxf>
      <fill>
        <gradientFill degree="180">
          <stop position="0">
            <color rgb="FFCCFFCC"/>
          </stop>
          <stop position="1">
            <color rgb="FFF2F2F2"/>
          </stop>
        </gradientFill>
      </fill>
    </dxf>
    <dxf>
      <fill>
        <gradientFill degree="180">
          <stop position="0">
            <color rgb="FFFFCCCC"/>
          </stop>
          <stop position="1">
            <color rgb="FFF2F2F2"/>
          </stop>
        </gradientFill>
      </fill>
    </dxf>
    <dxf>
      <fill>
        <gradientFill degree="180">
          <stop position="0">
            <color rgb="FFCCFFCC"/>
          </stop>
          <stop position="1">
            <color rgb="FFF2F2F2"/>
          </stop>
        </gradientFill>
      </fill>
    </dxf>
    <dxf>
      <fill>
        <patternFill>
          <bgColor indexed="10"/>
        </patternFill>
      </fill>
    </dxf>
    <dxf>
      <fill>
        <patternFill>
          <bgColor indexed="42"/>
        </patternFill>
      </fill>
    </dxf>
    <dxf>
      <font>
        <color theme="0" tint="-0.499984740745262"/>
      </font>
    </dxf>
    <dxf>
      <font>
        <color rgb="FFFF0000"/>
      </font>
      <fill>
        <patternFill>
          <bgColor rgb="FFFFFF00"/>
        </patternFill>
      </fill>
    </dxf>
    <dxf>
      <fill>
        <patternFill>
          <bgColor rgb="FF00FF00"/>
        </patternFill>
      </fill>
    </dxf>
    <dxf>
      <font>
        <color theme="0" tint="-0.34998626667073579"/>
      </font>
      <fill>
        <patternFill patternType="lightGray">
          <fgColor theme="0" tint="-0.24994659260841701"/>
        </patternFill>
      </fill>
    </dxf>
    <dxf>
      <font>
        <color theme="0" tint="-0.34998626667073579"/>
      </font>
      <fill>
        <patternFill patternType="lightGray">
          <fgColor theme="0" tint="-0.24994659260841701"/>
        </patternFill>
      </fill>
    </dxf>
    <dxf>
      <font>
        <color theme="0" tint="-0.34998626667073579"/>
      </font>
      <fill>
        <patternFill patternType="lightGray">
          <fgColor theme="0" tint="-0.24994659260841701"/>
        </patternFill>
      </fill>
    </dxf>
    <dxf>
      <font>
        <color theme="0" tint="-0.34998626667073579"/>
      </font>
      <fill>
        <patternFill patternType="lightGray">
          <fgColor theme="0" tint="-0.24994659260841701"/>
          <bgColor auto="1"/>
        </patternFill>
      </fill>
    </dxf>
    <dxf>
      <font>
        <color rgb="FFFF0000"/>
      </font>
      <fill>
        <patternFill>
          <bgColor rgb="FFFFDDD5"/>
        </patternFill>
      </fill>
    </dxf>
    <dxf>
      <fill>
        <patternFill>
          <bgColor rgb="FFFFFF00"/>
        </patternFill>
      </fill>
    </dxf>
    <dxf>
      <font>
        <b/>
        <i val="0"/>
        <color rgb="FFFFFF00"/>
      </font>
      <fill>
        <patternFill>
          <bgColor rgb="FFFF0000"/>
        </patternFill>
      </fill>
    </dxf>
    <dxf>
      <fill>
        <gradientFill degree="90">
          <stop position="0">
            <color theme="0"/>
          </stop>
          <stop position="1">
            <color rgb="FFFF0000"/>
          </stop>
        </gradientFill>
      </fill>
    </dxf>
    <dxf>
      <fill>
        <patternFill>
          <bgColor rgb="FFFFFF66"/>
        </patternFill>
      </fill>
    </dxf>
  </dxfs>
  <tableStyles count="0" defaultTableStyle="TableStyleMedium2" defaultPivotStyle="PivotStyleLight16"/>
  <colors>
    <mruColors>
      <color rgb="FFFAE6CD"/>
      <color rgb="FFFFE6CD"/>
      <color rgb="FFFFCCCC"/>
      <color rgb="FFFF7C80"/>
      <color rgb="FFFFCC99"/>
      <color rgb="FFCCFFCC"/>
      <color rgb="FFF2F2F2"/>
      <color rgb="FFE4CAB6"/>
      <color rgb="FFE6E6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Life cycle costing'!D63"/><Relationship Id="rId1" Type="http://schemas.openxmlformats.org/officeDocument/2006/relationships/hyperlink" Target="#'Life cycle costing'!D62"/></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Life cycle costing'!D71"/><Relationship Id="rId2" Type="http://schemas.openxmlformats.org/officeDocument/2006/relationships/hyperlink" Target="#'Life cycle costing'!D73"/><Relationship Id="rId1" Type="http://schemas.openxmlformats.org/officeDocument/2006/relationships/hyperlink" Target="#'Life cycle costing'!D72"/><Relationship Id="rId4" Type="http://schemas.openxmlformats.org/officeDocument/2006/relationships/hyperlink" Target="#'Life cycle costing'!D74"/></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5178</xdr:rowOff>
    </xdr:from>
    <xdr:to>
      <xdr:col>1</xdr:col>
      <xdr:colOff>600075</xdr:colOff>
      <xdr:row>3</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586203"/>
          <a:ext cx="561975" cy="509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4088816</xdr:colOff>
      <xdr:row>39</xdr:row>
      <xdr:rowOff>10886</xdr:rowOff>
    </xdr:from>
    <xdr:to>
      <xdr:col>4</xdr:col>
      <xdr:colOff>278565</xdr:colOff>
      <xdr:row>39</xdr:row>
      <xdr:rowOff>190886</xdr:rowOff>
    </xdr:to>
    <xdr:sp macro="" textlink="">
      <xdr:nvSpPr>
        <xdr:cNvPr id="2" name="Rectangle 1" descr="Deze tekstbox is vóór de invulvelden geplaatst, om onbedoelde wijzigingen te voorkomen." title="Bescherming!">
          <a:hlinkClick xmlns:r="http://schemas.openxmlformats.org/officeDocument/2006/relationships" r:id="rId1" tooltip="Reference (LINK) to the place to change this field."/>
          <a:extLst>
            <a:ext uri="{FF2B5EF4-FFF2-40B4-BE49-F238E27FC236}">
              <a16:creationId xmlns:a16="http://schemas.microsoft.com/office/drawing/2014/main" id="{00000000-0008-0000-0500-000002000000}"/>
            </a:ext>
          </a:extLst>
        </xdr:cNvPr>
        <xdr:cNvSpPr/>
      </xdr:nvSpPr>
      <xdr:spPr>
        <a:xfrm>
          <a:off x="4380169" y="8650621"/>
          <a:ext cx="862602" cy="180000"/>
        </a:xfrm>
        <a:prstGeom prst="rect">
          <a:avLst/>
        </a:prstGeom>
        <a:noFill/>
        <a:ln w="25400">
          <a:solidFill>
            <a:schemeClr val="bg1">
              <a:alpha val="2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4088816</xdr:colOff>
      <xdr:row>40</xdr:row>
      <xdr:rowOff>9988</xdr:rowOff>
    </xdr:from>
    <xdr:to>
      <xdr:col>4</xdr:col>
      <xdr:colOff>278565</xdr:colOff>
      <xdr:row>40</xdr:row>
      <xdr:rowOff>189988</xdr:rowOff>
    </xdr:to>
    <xdr:sp macro="" textlink="">
      <xdr:nvSpPr>
        <xdr:cNvPr id="3" name="Rectangle 2" descr="Deze tekstbox is vóór de invulvelden geplaatst, om onbedoelde wijzigingen te voorkomen." title="Bescherming!">
          <a:hlinkClick xmlns:r="http://schemas.openxmlformats.org/officeDocument/2006/relationships" r:id="rId2" tooltip="Reference (LINK) to the place to change this field."/>
          <a:extLst>
            <a:ext uri="{FF2B5EF4-FFF2-40B4-BE49-F238E27FC236}">
              <a16:creationId xmlns:a16="http://schemas.microsoft.com/office/drawing/2014/main" id="{00000000-0008-0000-0500-000003000000}"/>
            </a:ext>
          </a:extLst>
        </xdr:cNvPr>
        <xdr:cNvSpPr/>
      </xdr:nvSpPr>
      <xdr:spPr>
        <a:xfrm>
          <a:off x="4380169" y="8851429"/>
          <a:ext cx="862602" cy="180000"/>
        </a:xfrm>
        <a:prstGeom prst="rect">
          <a:avLst/>
        </a:prstGeom>
        <a:noFill/>
        <a:ln w="25400">
          <a:solidFill>
            <a:schemeClr val="bg1">
              <a:alpha val="2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14</xdr:col>
      <xdr:colOff>224119</xdr:colOff>
      <xdr:row>14</xdr:row>
      <xdr:rowOff>156882</xdr:rowOff>
    </xdr:from>
    <xdr:to>
      <xdr:col>15</xdr:col>
      <xdr:colOff>2521200</xdr:colOff>
      <xdr:row>18</xdr:row>
      <xdr:rowOff>180982</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rot="562060">
          <a:off x="11385178" y="2835088"/>
          <a:ext cx="3350434" cy="797306"/>
        </a:xfrm>
        <a:prstGeom prst="rect">
          <a:avLst/>
        </a:prstGeom>
        <a:solidFill>
          <a:srgbClr val="FFFF00"/>
        </a:solidFill>
        <a:ln w="9525" cmpd="sng">
          <a:solidFill>
            <a:schemeClr val="lt1">
              <a:shade val="50000"/>
            </a:schemeClr>
          </a:solidFill>
        </a:ln>
        <a:effectLst>
          <a:outerShdw blurRad="76200" dist="508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0" i="0">
              <a:solidFill>
                <a:schemeClr val="dk1"/>
              </a:solidFill>
              <a:effectLst/>
              <a:latin typeface="+mn-lt"/>
              <a:ea typeface="+mn-ea"/>
              <a:cs typeface="+mn-cs"/>
            </a:rPr>
            <a:t>The scores in this section are the results of the NDT working group as of 14 Nov'19.</a:t>
          </a:r>
        </a:p>
        <a:p>
          <a:r>
            <a:rPr lang="nl-NL" sz="1100" b="0" i="0">
              <a:solidFill>
                <a:schemeClr val="dk1"/>
              </a:solidFill>
              <a:effectLst/>
              <a:latin typeface="+mn-lt"/>
              <a:ea typeface="+mn-ea"/>
              <a:cs typeface="+mn-cs"/>
            </a:rPr>
            <a:t>Deviations with arguments compared to the workgroup result are shown in red.</a:t>
          </a:r>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5178</xdr:rowOff>
    </xdr:from>
    <xdr:to>
      <xdr:col>1</xdr:col>
      <xdr:colOff>600075</xdr:colOff>
      <xdr:row>3</xdr:row>
      <xdr:rowOff>123825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586203"/>
          <a:ext cx="561975" cy="5091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8927</xdr:colOff>
      <xdr:row>7</xdr:row>
      <xdr:rowOff>9525</xdr:rowOff>
    </xdr:from>
    <xdr:to>
      <xdr:col>4</xdr:col>
      <xdr:colOff>1348</xdr:colOff>
      <xdr:row>7</xdr:row>
      <xdr:rowOff>189525</xdr:rowOff>
    </xdr:to>
    <xdr:sp macro="" textlink="">
      <xdr:nvSpPr>
        <xdr:cNvPr id="2" name="Length_LCC" descr="This text box has been placed before the entry fields to prevent unintended changes." title="Protection!">
          <a:hlinkClick xmlns:r="http://schemas.openxmlformats.org/officeDocument/2006/relationships" r:id="rId1" tooltip="Link to reference data, where to change this data."/>
          <a:extLst>
            <a:ext uri="{FF2B5EF4-FFF2-40B4-BE49-F238E27FC236}">
              <a16:creationId xmlns:a16="http://schemas.microsoft.com/office/drawing/2014/main" id="{00000000-0008-0000-0700-000002000000}"/>
            </a:ext>
          </a:extLst>
        </xdr:cNvPr>
        <xdr:cNvSpPr/>
      </xdr:nvSpPr>
      <xdr:spPr>
        <a:xfrm>
          <a:off x="2447327" y="1276350"/>
          <a:ext cx="697271" cy="180000"/>
        </a:xfrm>
        <a:prstGeom prst="rect">
          <a:avLst/>
        </a:prstGeom>
        <a:noFill/>
        <a:ln w="25400">
          <a:solidFill>
            <a:schemeClr val="bg1">
              <a:alpha val="2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8927</xdr:colOff>
      <xdr:row>8</xdr:row>
      <xdr:rowOff>9525</xdr:rowOff>
    </xdr:from>
    <xdr:to>
      <xdr:col>4</xdr:col>
      <xdr:colOff>1348</xdr:colOff>
      <xdr:row>8</xdr:row>
      <xdr:rowOff>189525</xdr:rowOff>
    </xdr:to>
    <xdr:sp macro="" textlink="">
      <xdr:nvSpPr>
        <xdr:cNvPr id="3" name="Width_LCC" descr="This text box has been placed before the entry fields to prevent unintended changes." title="Protection!">
          <a:hlinkClick xmlns:r="http://schemas.openxmlformats.org/officeDocument/2006/relationships" r:id="rId2" tooltip="Link to reference data, where to change this data."/>
          <a:extLst>
            <a:ext uri="{FF2B5EF4-FFF2-40B4-BE49-F238E27FC236}">
              <a16:creationId xmlns:a16="http://schemas.microsoft.com/office/drawing/2014/main" id="{00000000-0008-0000-0700-000003000000}"/>
            </a:ext>
          </a:extLst>
        </xdr:cNvPr>
        <xdr:cNvSpPr/>
      </xdr:nvSpPr>
      <xdr:spPr>
        <a:xfrm>
          <a:off x="2447327" y="1466850"/>
          <a:ext cx="697271" cy="180000"/>
        </a:xfrm>
        <a:prstGeom prst="rect">
          <a:avLst/>
        </a:prstGeom>
        <a:noFill/>
        <a:ln w="25400">
          <a:solidFill>
            <a:schemeClr val="bg1">
              <a:alpha val="2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8927</xdr:colOff>
      <xdr:row>6</xdr:row>
      <xdr:rowOff>9525</xdr:rowOff>
    </xdr:from>
    <xdr:to>
      <xdr:col>4</xdr:col>
      <xdr:colOff>1348</xdr:colOff>
      <xdr:row>6</xdr:row>
      <xdr:rowOff>189525</xdr:rowOff>
    </xdr:to>
    <xdr:sp macro="" textlink="">
      <xdr:nvSpPr>
        <xdr:cNvPr id="4" name="Heigth_LCC" descr="This text box has been placed before the entry fields to prevent unintended changes." title="Protection!">
          <a:hlinkClick xmlns:r="http://schemas.openxmlformats.org/officeDocument/2006/relationships" r:id="rId3" tooltip="Link to reference data, where to change this data."/>
          <a:extLst>
            <a:ext uri="{FF2B5EF4-FFF2-40B4-BE49-F238E27FC236}">
              <a16:creationId xmlns:a16="http://schemas.microsoft.com/office/drawing/2014/main" id="{00000000-0008-0000-0700-000004000000}"/>
            </a:ext>
          </a:extLst>
        </xdr:cNvPr>
        <xdr:cNvSpPr/>
      </xdr:nvSpPr>
      <xdr:spPr>
        <a:xfrm>
          <a:off x="2447327" y="1085850"/>
          <a:ext cx="697271" cy="180000"/>
        </a:xfrm>
        <a:prstGeom prst="rect">
          <a:avLst/>
        </a:prstGeom>
        <a:noFill/>
        <a:ln w="25400">
          <a:solidFill>
            <a:schemeClr val="bg1">
              <a:alpha val="2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8927</xdr:colOff>
      <xdr:row>9</xdr:row>
      <xdr:rowOff>9525</xdr:rowOff>
    </xdr:from>
    <xdr:to>
      <xdr:col>4</xdr:col>
      <xdr:colOff>1348</xdr:colOff>
      <xdr:row>9</xdr:row>
      <xdr:rowOff>189525</xdr:rowOff>
    </xdr:to>
    <xdr:sp macro="" textlink="">
      <xdr:nvSpPr>
        <xdr:cNvPr id="5" name="TimeOfUse_LCC" descr="This text box has been placed before the entry fields to prevent unintended changes." title="Protection!">
          <a:hlinkClick xmlns:r="http://schemas.openxmlformats.org/officeDocument/2006/relationships" r:id="rId4" tooltip="Link to reference data, where to change this data."/>
          <a:extLst>
            <a:ext uri="{FF2B5EF4-FFF2-40B4-BE49-F238E27FC236}">
              <a16:creationId xmlns:a16="http://schemas.microsoft.com/office/drawing/2014/main" id="{00000000-0008-0000-0700-000005000000}"/>
            </a:ext>
          </a:extLst>
        </xdr:cNvPr>
        <xdr:cNvSpPr/>
      </xdr:nvSpPr>
      <xdr:spPr>
        <a:xfrm>
          <a:off x="2447327" y="1657350"/>
          <a:ext cx="697271" cy="180000"/>
        </a:xfrm>
        <a:prstGeom prst="rect">
          <a:avLst/>
        </a:prstGeom>
        <a:noFill/>
        <a:ln w="25400">
          <a:solidFill>
            <a:schemeClr val="bg1">
              <a:alpha val="2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ORK_PC/Geerthenk.wijnants/Stork/Projecten/WCM_CUI/RB_CUI_Management/ToolBP_CuiManagementPlanning(Mei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Installatie"/>
      <sheetName val="Weergave"/>
      <sheetName val="NEN-EN 1699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fitToPage="1"/>
  </sheetPr>
  <dimension ref="A1:H49"/>
  <sheetViews>
    <sheetView showRowColHeaders="0" tabSelected="1" zoomScale="85" zoomScaleNormal="85" workbookViewId="0">
      <selection activeCell="H3" sqref="H3"/>
    </sheetView>
  </sheetViews>
  <sheetFormatPr defaultColWidth="0" defaultRowHeight="15" customHeight="1" zeroHeight="1"/>
  <cols>
    <col min="1" max="1" width="14" style="52" customWidth="1"/>
    <col min="2" max="2" width="9.140625" style="52" customWidth="1"/>
    <col min="3" max="3" width="36.28515625" style="52" customWidth="1"/>
    <col min="4" max="4" width="11.7109375" style="52" customWidth="1"/>
    <col min="5" max="5" width="15.7109375" style="52" customWidth="1"/>
    <col min="6" max="6" width="56.42578125" style="52" customWidth="1"/>
    <col min="7" max="7" width="9.140625" style="52" customWidth="1"/>
    <col min="8" max="8" width="0.140625" style="52" customWidth="1"/>
    <col min="9" max="16384" width="9.140625" style="52" hidden="1"/>
  </cols>
  <sheetData>
    <row r="1" spans="1:8" ht="45.75" thickBot="1">
      <c r="A1" s="50"/>
      <c r="B1" s="50"/>
      <c r="C1" s="50"/>
      <c r="D1" s="50"/>
      <c r="E1" s="50"/>
      <c r="F1" s="50"/>
      <c r="G1" s="50"/>
      <c r="H1" s="51" t="s">
        <v>0</v>
      </c>
    </row>
    <row r="2" spans="1:8">
      <c r="A2" s="50"/>
      <c r="B2" s="53"/>
      <c r="C2" s="54"/>
      <c r="D2" s="54"/>
      <c r="E2" s="54"/>
      <c r="F2" s="54"/>
      <c r="G2" s="55"/>
      <c r="H2" s="56"/>
    </row>
    <row r="3" spans="1:8" ht="15.75" thickBot="1">
      <c r="A3" s="50"/>
      <c r="B3" s="57"/>
      <c r="C3" s="58"/>
      <c r="D3" s="58"/>
      <c r="E3" s="58"/>
      <c r="F3" s="58"/>
      <c r="G3" s="59"/>
      <c r="H3" s="275" t="s">
        <v>1</v>
      </c>
    </row>
    <row r="4" spans="1:8" ht="27.75">
      <c r="A4" s="50"/>
      <c r="B4" s="60"/>
      <c r="C4" s="61" t="s">
        <v>2</v>
      </c>
      <c r="D4" s="62"/>
      <c r="E4" s="62"/>
      <c r="F4" s="269" t="s">
        <v>3</v>
      </c>
      <c r="G4" s="60"/>
      <c r="H4" s="56"/>
    </row>
    <row r="5" spans="1:8">
      <c r="A5" s="50"/>
      <c r="B5" s="60"/>
      <c r="C5" s="63" t="s">
        <v>4</v>
      </c>
      <c r="D5" s="439" t="s">
        <v>5</v>
      </c>
      <c r="E5" s="64"/>
      <c r="F5" s="62"/>
      <c r="G5" s="60"/>
      <c r="H5" s="56"/>
    </row>
    <row r="6" spans="1:8">
      <c r="A6" s="50"/>
      <c r="B6" s="60"/>
      <c r="C6" s="439" t="s">
        <v>6</v>
      </c>
      <c r="D6" s="62"/>
      <c r="E6" s="62"/>
      <c r="F6" s="62"/>
      <c r="G6" s="60"/>
      <c r="H6" s="56"/>
    </row>
    <row r="7" spans="1:8">
      <c r="A7" s="50"/>
      <c r="B7" s="60"/>
      <c r="C7" s="439" t="s">
        <v>7</v>
      </c>
      <c r="D7" s="62"/>
      <c r="E7" s="62"/>
      <c r="F7" s="62"/>
      <c r="G7" s="60"/>
      <c r="H7" s="56"/>
    </row>
    <row r="8" spans="1:8">
      <c r="A8" s="50"/>
      <c r="B8" s="60"/>
      <c r="C8" s="439" t="s">
        <v>8</v>
      </c>
      <c r="D8" s="62"/>
      <c r="E8" s="62"/>
      <c r="F8" s="62"/>
      <c r="G8" s="60"/>
      <c r="H8" s="56"/>
    </row>
    <row r="9" spans="1:8">
      <c r="A9" s="50"/>
      <c r="B9" s="60"/>
      <c r="C9" s="439" t="s">
        <v>9</v>
      </c>
      <c r="D9" s="62"/>
      <c r="E9" s="62"/>
      <c r="F9" s="62"/>
      <c r="G9" s="60"/>
      <c r="H9" s="56"/>
    </row>
    <row r="10" spans="1:8">
      <c r="A10" s="50"/>
      <c r="B10" s="60"/>
      <c r="C10" s="64"/>
      <c r="D10" s="62"/>
      <c r="E10" s="62"/>
      <c r="F10" s="62"/>
      <c r="G10" s="60"/>
      <c r="H10" s="56"/>
    </row>
    <row r="11" spans="1:8">
      <c r="A11" s="50"/>
      <c r="B11" s="60"/>
      <c r="C11" s="439" t="s">
        <v>10</v>
      </c>
      <c r="D11" s="62"/>
      <c r="E11" s="62"/>
      <c r="F11" s="62"/>
      <c r="G11" s="60"/>
      <c r="H11" s="56"/>
    </row>
    <row r="12" spans="1:8">
      <c r="A12" s="50"/>
      <c r="B12" s="60"/>
      <c r="C12" s="439" t="s">
        <v>11</v>
      </c>
      <c r="D12" s="62"/>
      <c r="E12" s="62"/>
      <c r="F12" s="62"/>
      <c r="G12" s="60"/>
      <c r="H12" s="56"/>
    </row>
    <row r="13" spans="1:8">
      <c r="A13" s="50"/>
      <c r="B13" s="60"/>
      <c r="C13" s="64" t="s">
        <v>12</v>
      </c>
      <c r="D13" s="62"/>
      <c r="E13" s="62"/>
      <c r="F13" s="62"/>
      <c r="G13" s="60"/>
      <c r="H13" s="56"/>
    </row>
    <row r="14" spans="1:8">
      <c r="A14" s="50"/>
      <c r="B14" s="60"/>
      <c r="C14" s="64"/>
      <c r="D14" s="62"/>
      <c r="E14" s="62"/>
      <c r="F14" s="62"/>
      <c r="G14" s="60"/>
      <c r="H14" s="56"/>
    </row>
    <row r="15" spans="1:8" ht="15.75">
      <c r="A15" s="50"/>
      <c r="B15" s="60"/>
      <c r="C15" s="439" t="s">
        <v>13</v>
      </c>
      <c r="D15" s="62"/>
      <c r="E15" s="62"/>
      <c r="F15" s="62"/>
      <c r="G15" s="60"/>
      <c r="H15" s="56"/>
    </row>
    <row r="16" spans="1:8">
      <c r="A16" s="50"/>
      <c r="B16" s="60"/>
      <c r="C16" s="65" t="s">
        <v>14</v>
      </c>
      <c r="D16" s="48" t="s">
        <v>15</v>
      </c>
      <c r="E16" s="66"/>
      <c r="F16" s="62"/>
      <c r="G16" s="60"/>
      <c r="H16" s="56"/>
    </row>
    <row r="17" spans="1:8">
      <c r="A17" s="50"/>
      <c r="B17" s="60"/>
      <c r="C17" s="440" t="s">
        <v>16</v>
      </c>
      <c r="D17" s="67" t="s">
        <v>17</v>
      </c>
      <c r="E17" s="66"/>
      <c r="F17" s="62"/>
      <c r="G17" s="60"/>
      <c r="H17" s="56"/>
    </row>
    <row r="18" spans="1:8">
      <c r="A18" s="50"/>
      <c r="B18" s="60"/>
      <c r="C18" s="65"/>
      <c r="D18" s="66"/>
      <c r="E18" s="66"/>
      <c r="F18" s="62"/>
      <c r="G18" s="60"/>
      <c r="H18" s="56"/>
    </row>
    <row r="19" spans="1:8">
      <c r="A19" s="50"/>
      <c r="B19" s="60"/>
      <c r="C19" s="68" t="s">
        <v>18</v>
      </c>
      <c r="D19" s="66"/>
      <c r="E19" s="66"/>
      <c r="F19" s="62"/>
      <c r="G19" s="60"/>
      <c r="H19" s="56"/>
    </row>
    <row r="20" spans="1:8">
      <c r="A20" s="50"/>
      <c r="B20" s="60"/>
      <c r="C20" s="69" t="s">
        <v>19</v>
      </c>
      <c r="D20" s="70"/>
      <c r="E20" s="70"/>
      <c r="F20" s="62"/>
      <c r="G20" s="60"/>
      <c r="H20" s="56"/>
    </row>
    <row r="21" spans="1:8">
      <c r="A21" s="50"/>
      <c r="B21" s="60"/>
      <c r="C21" s="69" t="s">
        <v>20</v>
      </c>
      <c r="D21" s="70"/>
      <c r="E21" s="70"/>
      <c r="F21" s="62"/>
      <c r="G21" s="60"/>
      <c r="H21" s="56"/>
    </row>
    <row r="22" spans="1:8">
      <c r="A22" s="50"/>
      <c r="B22" s="60"/>
      <c r="C22" s="69" t="s">
        <v>21</v>
      </c>
      <c r="D22" s="70"/>
      <c r="E22" s="70"/>
      <c r="F22" s="62"/>
      <c r="G22" s="60"/>
      <c r="H22" s="56"/>
    </row>
    <row r="23" spans="1:8">
      <c r="A23" s="50"/>
      <c r="B23" s="60"/>
      <c r="C23" s="439" t="s">
        <v>22</v>
      </c>
      <c r="D23" s="70"/>
      <c r="E23" s="70"/>
      <c r="F23" s="62"/>
      <c r="G23" s="60"/>
      <c r="H23" s="56"/>
    </row>
    <row r="24" spans="1:8">
      <c r="A24" s="50"/>
      <c r="B24" s="60"/>
      <c r="C24" s="64" t="s">
        <v>23</v>
      </c>
      <c r="D24" s="70"/>
      <c r="E24" s="70"/>
      <c r="F24" s="62"/>
      <c r="G24" s="60"/>
      <c r="H24" s="56"/>
    </row>
    <row r="25" spans="1:8">
      <c r="A25" s="50"/>
      <c r="B25" s="60"/>
      <c r="C25" s="64" t="s">
        <v>24</v>
      </c>
      <c r="D25" s="70"/>
      <c r="E25" s="70"/>
      <c r="F25" s="62"/>
      <c r="G25" s="60"/>
      <c r="H25" s="56"/>
    </row>
    <row r="26" spans="1:8">
      <c r="A26" s="50"/>
      <c r="B26" s="60"/>
      <c r="C26" s="64" t="s">
        <v>25</v>
      </c>
      <c r="D26" s="70"/>
      <c r="E26" s="70"/>
      <c r="F26" s="62"/>
      <c r="G26" s="60"/>
      <c r="H26" s="56"/>
    </row>
    <row r="27" spans="1:8">
      <c r="A27" s="50"/>
      <c r="B27" s="60"/>
      <c r="C27" s="64" t="s">
        <v>26</v>
      </c>
      <c r="D27" s="70"/>
      <c r="E27" s="70"/>
      <c r="F27" s="62"/>
      <c r="G27" s="60"/>
      <c r="H27" s="56"/>
    </row>
    <row r="28" spans="1:8">
      <c r="A28" s="50"/>
      <c r="B28" s="60"/>
      <c r="C28" s="64"/>
      <c r="D28" s="66"/>
      <c r="E28" s="66"/>
      <c r="F28" s="62"/>
      <c r="G28" s="60"/>
      <c r="H28" s="56"/>
    </row>
    <row r="29" spans="1:8">
      <c r="A29" s="50"/>
      <c r="B29" s="60"/>
      <c r="C29" s="68" t="s">
        <v>27</v>
      </c>
      <c r="D29" s="66"/>
      <c r="E29" s="66"/>
      <c r="F29" s="62"/>
      <c r="G29" s="60"/>
      <c r="H29" s="56"/>
    </row>
    <row r="30" spans="1:8">
      <c r="A30" s="50"/>
      <c r="B30" s="60"/>
      <c r="C30" s="64" t="s">
        <v>28</v>
      </c>
      <c r="D30" s="66"/>
      <c r="E30" s="66"/>
      <c r="F30" s="62"/>
      <c r="G30" s="60"/>
      <c r="H30" s="56"/>
    </row>
    <row r="31" spans="1:8">
      <c r="A31" s="50"/>
      <c r="B31" s="60"/>
      <c r="C31" s="64" t="s">
        <v>29</v>
      </c>
      <c r="D31" s="66"/>
      <c r="E31" s="66"/>
      <c r="F31" s="62"/>
      <c r="G31" s="60"/>
      <c r="H31" s="56"/>
    </row>
    <row r="32" spans="1:8">
      <c r="A32" s="50"/>
      <c r="B32" s="60"/>
      <c r="C32" s="64" t="s">
        <v>30</v>
      </c>
      <c r="D32" s="66"/>
      <c r="E32" s="66"/>
      <c r="F32" s="62"/>
      <c r="G32" s="60"/>
      <c r="H32" s="56"/>
    </row>
    <row r="33" spans="1:8">
      <c r="A33" s="50"/>
      <c r="B33" s="60"/>
      <c r="C33" s="439" t="s">
        <v>31</v>
      </c>
      <c r="D33" s="66"/>
      <c r="E33" s="66"/>
      <c r="F33" s="62"/>
      <c r="G33" s="60"/>
      <c r="H33" s="56"/>
    </row>
    <row r="34" spans="1:8" ht="15.75" thickBot="1">
      <c r="A34" s="50"/>
      <c r="B34" s="60"/>
      <c r="C34" s="71"/>
      <c r="D34" s="72"/>
      <c r="E34" s="72"/>
      <c r="F34" s="76" t="s">
        <v>32</v>
      </c>
      <c r="G34" s="60"/>
      <c r="H34" s="56"/>
    </row>
    <row r="35" spans="1:8">
      <c r="A35" s="50"/>
      <c r="B35" s="57"/>
      <c r="C35" s="54"/>
      <c r="D35" s="54"/>
      <c r="E35" s="54"/>
      <c r="F35" s="54"/>
      <c r="G35" s="73"/>
      <c r="H35" s="56"/>
    </row>
    <row r="36" spans="1:8" ht="15.75" thickBot="1">
      <c r="A36" s="50"/>
      <c r="B36" s="74"/>
      <c r="C36" s="58"/>
      <c r="D36" s="58"/>
      <c r="E36" s="58"/>
      <c r="F36" s="58"/>
      <c r="G36" s="75"/>
      <c r="H36" s="56"/>
    </row>
    <row r="37" spans="1:8" hidden="1"/>
    <row r="38" spans="1:8" hidden="1"/>
    <row r="39" spans="1:8" hidden="1"/>
    <row r="40" spans="1:8" hidden="1"/>
    <row r="41" spans="1:8" hidden="1"/>
    <row r="42" spans="1:8" hidden="1"/>
    <row r="43" spans="1:8" hidden="1"/>
    <row r="44" spans="1:8" hidden="1"/>
    <row r="45" spans="1:8" hidden="1"/>
    <row r="46" spans="1:8" hidden="1"/>
    <row r="47" spans="1:8" hidden="1"/>
    <row r="48" spans="1:8" hidden="1"/>
    <row r="49" hidden="1"/>
  </sheetData>
  <pageMargins left="0.70866141732283472" right="0.70866141732283472" top="1.3385826771653544" bottom="0.74803149606299213" header="0.31496062992125984" footer="0.31496062992125984"/>
  <pageSetup paperSize="9" orientation="landscape" r:id="rId1"/>
  <headerFooter>
    <oddHeader>&amp;L&amp;G&amp;RWorld Class Maintenance project: Risk Based CUI Management.</oddHeader>
    <oddFooter>&amp;L&amp;9File / Tab: &amp;F / &amp;A&amp;C&amp;9Printdatum: &amp;D&amp;R&amp;9Bladzijde &amp;P van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1:K22"/>
  <sheetViews>
    <sheetView zoomScale="85" zoomScaleNormal="85" workbookViewId="0">
      <selection activeCell="B21" sqref="B21:I21"/>
    </sheetView>
  </sheetViews>
  <sheetFormatPr defaultColWidth="0" defaultRowHeight="15" zeroHeight="1"/>
  <cols>
    <col min="1" max="1" width="5.140625" customWidth="1"/>
    <col min="2" max="2" width="34.140625" customWidth="1"/>
    <col min="3" max="3" width="11" customWidth="1"/>
    <col min="4" max="7" width="13.42578125" customWidth="1"/>
    <col min="8" max="8" width="19" customWidth="1"/>
    <col min="9" max="9" width="56.85546875" customWidth="1"/>
    <col min="10" max="10" width="14.5703125" customWidth="1"/>
    <col min="11" max="11" width="4.28515625" customWidth="1"/>
    <col min="12" max="16384" width="9.140625" hidden="1"/>
  </cols>
  <sheetData>
    <row r="1" spans="1:11" ht="15.75">
      <c r="A1" s="311" t="s">
        <v>33</v>
      </c>
      <c r="B1" s="2"/>
      <c r="K1" s="39"/>
    </row>
    <row r="2" spans="1:11">
      <c r="A2" s="40"/>
      <c r="B2" s="39"/>
      <c r="C2" s="39"/>
      <c r="D2" s="39"/>
      <c r="E2" s="39"/>
      <c r="F2" s="39"/>
      <c r="G2" s="39"/>
      <c r="H2" s="39"/>
      <c r="I2" s="39"/>
      <c r="J2" s="39"/>
      <c r="K2" s="39"/>
    </row>
    <row r="3" spans="1:11">
      <c r="A3" s="40"/>
      <c r="B3" s="4" t="s">
        <v>34</v>
      </c>
      <c r="C3" s="378" t="s">
        <v>35</v>
      </c>
      <c r="D3" s="379"/>
      <c r="E3" s="39"/>
      <c r="F3" s="39"/>
      <c r="G3" s="39"/>
      <c r="H3" s="39"/>
      <c r="I3" s="39"/>
      <c r="J3" s="39"/>
      <c r="K3" s="39"/>
    </row>
    <row r="4" spans="1:11">
      <c r="A4" s="40"/>
      <c r="B4" s="4" t="s">
        <v>36</v>
      </c>
      <c r="C4" s="49">
        <v>1000</v>
      </c>
      <c r="D4" s="380" t="s">
        <v>37</v>
      </c>
      <c r="E4" s="381"/>
      <c r="F4" s="381"/>
      <c r="G4" s="381"/>
      <c r="H4" s="382"/>
      <c r="I4" s="39"/>
      <c r="J4" s="39"/>
      <c r="K4" s="39"/>
    </row>
    <row r="5" spans="1:11" ht="48.75" customHeight="1" thickBot="1">
      <c r="A5" s="40"/>
      <c r="B5" s="276" t="s">
        <v>38</v>
      </c>
      <c r="C5" s="77">
        <f>(C4/100)*INDEX('Life cycle costing'!A17:$F$81,(MATCH(C3,'Life cycle costing'!$A$17:$A$81,0)+VLOOKUP(C3,'Life cycle costing'!$A$17:$F$81,6,FALSE)),6)</f>
        <v>587600</v>
      </c>
      <c r="D5" s="37" t="s">
        <v>39</v>
      </c>
      <c r="E5" s="38" t="s">
        <v>35</v>
      </c>
      <c r="F5" s="38" t="s">
        <v>40</v>
      </c>
      <c r="G5" s="38" t="s">
        <v>41</v>
      </c>
      <c r="H5" s="38" t="s">
        <v>42</v>
      </c>
      <c r="I5" s="282" t="s">
        <v>43</v>
      </c>
      <c r="J5" s="281" t="s">
        <v>38</v>
      </c>
      <c r="K5" s="39"/>
    </row>
    <row r="6" spans="1:11">
      <c r="A6" s="39"/>
      <c r="B6" s="277" t="s">
        <v>44</v>
      </c>
      <c r="C6" s="261">
        <v>300</v>
      </c>
      <c r="D6" s="249">
        <f t="dataTable" ref="D6:H17" dt2D="1" dtr="1" r1="C3" r2="C4" ca="1"/>
        <v>335520</v>
      </c>
      <c r="E6" s="250">
        <v>176280</v>
      </c>
      <c r="F6" s="250">
        <v>600000</v>
      </c>
      <c r="G6" s="250">
        <v>178740</v>
      </c>
      <c r="H6" s="251">
        <v>547575.52171755536</v>
      </c>
      <c r="I6" s="283" t="s">
        <v>35</v>
      </c>
      <c r="J6" s="280">
        <f t="shared" ref="J6:J17" si="0">IFERROR(INDEX($D$6:$H$17,ROW()-ROW($J$5),MATCH(I6,$D$5:$H$5,0)),"")</f>
        <v>176280</v>
      </c>
      <c r="K6" s="39"/>
    </row>
    <row r="7" spans="1:11">
      <c r="A7" s="40"/>
      <c r="B7" s="278" t="s">
        <v>45</v>
      </c>
      <c r="C7" s="262">
        <v>100</v>
      </c>
      <c r="D7" s="252">
        <v>111840</v>
      </c>
      <c r="E7" s="253">
        <v>58760</v>
      </c>
      <c r="F7" s="253">
        <v>200000</v>
      </c>
      <c r="G7" s="253">
        <v>59580</v>
      </c>
      <c r="H7" s="254">
        <v>182525.17390585179</v>
      </c>
      <c r="I7" s="284" t="s">
        <v>35</v>
      </c>
      <c r="J7" s="280">
        <f t="shared" si="0"/>
        <v>58760</v>
      </c>
      <c r="K7" s="39"/>
    </row>
    <row r="8" spans="1:11">
      <c r="A8" s="40"/>
      <c r="B8" s="278" t="s">
        <v>46</v>
      </c>
      <c r="C8" s="262">
        <v>1000</v>
      </c>
      <c r="D8" s="252">
        <v>1118400</v>
      </c>
      <c r="E8" s="253">
        <v>587600</v>
      </c>
      <c r="F8" s="253">
        <v>2000000</v>
      </c>
      <c r="G8" s="253">
        <v>595800</v>
      </c>
      <c r="H8" s="254">
        <v>1825251.7390585179</v>
      </c>
      <c r="I8" s="284" t="s">
        <v>39</v>
      </c>
      <c r="J8" s="280">
        <f t="shared" si="0"/>
        <v>1118400</v>
      </c>
      <c r="K8" s="39"/>
    </row>
    <row r="9" spans="1:11">
      <c r="A9" s="40"/>
      <c r="B9" s="278" t="s">
        <v>47</v>
      </c>
      <c r="C9" s="262">
        <v>3000</v>
      </c>
      <c r="D9" s="252">
        <v>3355200</v>
      </c>
      <c r="E9" s="253">
        <v>1762800</v>
      </c>
      <c r="F9" s="253">
        <v>6000000</v>
      </c>
      <c r="G9" s="253">
        <v>1787400</v>
      </c>
      <c r="H9" s="254">
        <v>5475755.2171755536</v>
      </c>
      <c r="I9" s="284" t="s">
        <v>41</v>
      </c>
      <c r="J9" s="280">
        <f t="shared" si="0"/>
        <v>1787400</v>
      </c>
      <c r="K9" s="39"/>
    </row>
    <row r="10" spans="1:11">
      <c r="A10" s="40"/>
      <c r="B10" s="278" t="s">
        <v>48</v>
      </c>
      <c r="C10" s="262">
        <v>10000</v>
      </c>
      <c r="D10" s="252">
        <v>11184000</v>
      </c>
      <c r="E10" s="253">
        <v>5876000</v>
      </c>
      <c r="F10" s="253">
        <v>20000000</v>
      </c>
      <c r="G10" s="253">
        <v>5958000</v>
      </c>
      <c r="H10" s="254">
        <v>18252517.390585177</v>
      </c>
      <c r="I10" s="284" t="s">
        <v>35</v>
      </c>
      <c r="J10" s="280">
        <f t="shared" si="0"/>
        <v>5876000</v>
      </c>
      <c r="K10" s="39"/>
    </row>
    <row r="11" spans="1:11">
      <c r="A11" s="40"/>
      <c r="B11" s="278" t="s">
        <v>49</v>
      </c>
      <c r="C11" s="262">
        <v>2500</v>
      </c>
      <c r="D11" s="252">
        <v>2796000</v>
      </c>
      <c r="E11" s="253">
        <v>1469000</v>
      </c>
      <c r="F11" s="253">
        <v>5000000</v>
      </c>
      <c r="G11" s="253">
        <v>1489500</v>
      </c>
      <c r="H11" s="254">
        <v>4563129.3476462942</v>
      </c>
      <c r="I11" s="284" t="s">
        <v>42</v>
      </c>
      <c r="J11" s="280">
        <f t="shared" si="0"/>
        <v>4563129.3476462942</v>
      </c>
      <c r="K11" s="39"/>
    </row>
    <row r="12" spans="1:11">
      <c r="A12" s="40"/>
      <c r="B12" s="278"/>
      <c r="C12" s="262"/>
      <c r="D12" s="252">
        <v>0</v>
      </c>
      <c r="E12" s="253">
        <v>0</v>
      </c>
      <c r="F12" s="253">
        <v>0</v>
      </c>
      <c r="G12" s="253">
        <v>0</v>
      </c>
      <c r="H12" s="254">
        <v>0</v>
      </c>
      <c r="I12" s="284"/>
      <c r="J12" s="280" t="str">
        <f t="shared" si="0"/>
        <v/>
      </c>
      <c r="K12" s="39"/>
    </row>
    <row r="13" spans="1:11">
      <c r="A13" s="40"/>
      <c r="B13" s="278"/>
      <c r="C13" s="262"/>
      <c r="D13" s="252">
        <v>0</v>
      </c>
      <c r="E13" s="253">
        <v>0</v>
      </c>
      <c r="F13" s="253">
        <v>0</v>
      </c>
      <c r="G13" s="253">
        <v>0</v>
      </c>
      <c r="H13" s="254">
        <v>0</v>
      </c>
      <c r="I13" s="284"/>
      <c r="J13" s="280" t="str">
        <f t="shared" si="0"/>
        <v/>
      </c>
      <c r="K13" s="39"/>
    </row>
    <row r="14" spans="1:11">
      <c r="A14" s="40"/>
      <c r="B14" s="278"/>
      <c r="C14" s="262"/>
      <c r="D14" s="252">
        <v>0</v>
      </c>
      <c r="E14" s="253">
        <v>0</v>
      </c>
      <c r="F14" s="253">
        <v>0</v>
      </c>
      <c r="G14" s="253">
        <v>0</v>
      </c>
      <c r="H14" s="254">
        <v>0</v>
      </c>
      <c r="I14" s="284"/>
      <c r="J14" s="280" t="str">
        <f t="shared" si="0"/>
        <v/>
      </c>
      <c r="K14" s="39"/>
    </row>
    <row r="15" spans="1:11">
      <c r="A15" s="40"/>
      <c r="B15" s="278"/>
      <c r="C15" s="262"/>
      <c r="D15" s="252">
        <v>0</v>
      </c>
      <c r="E15" s="253">
        <v>0</v>
      </c>
      <c r="F15" s="253">
        <v>0</v>
      </c>
      <c r="G15" s="253">
        <v>0</v>
      </c>
      <c r="H15" s="254">
        <v>0</v>
      </c>
      <c r="I15" s="284"/>
      <c r="J15" s="280" t="str">
        <f t="shared" si="0"/>
        <v/>
      </c>
      <c r="K15" s="39"/>
    </row>
    <row r="16" spans="1:11">
      <c r="A16" s="40"/>
      <c r="B16" s="278"/>
      <c r="C16" s="262"/>
      <c r="D16" s="252">
        <v>0</v>
      </c>
      <c r="E16" s="253">
        <v>0</v>
      </c>
      <c r="F16" s="253">
        <v>0</v>
      </c>
      <c r="G16" s="253">
        <v>0</v>
      </c>
      <c r="H16" s="254">
        <v>0</v>
      </c>
      <c r="I16" s="284"/>
      <c r="J16" s="280" t="str">
        <f t="shared" si="0"/>
        <v/>
      </c>
      <c r="K16" s="39"/>
    </row>
    <row r="17" spans="1:11" ht="15.75" thickBot="1">
      <c r="A17" s="40"/>
      <c r="B17" s="279"/>
      <c r="C17" s="263"/>
      <c r="D17" s="255">
        <v>0</v>
      </c>
      <c r="E17" s="256">
        <v>0</v>
      </c>
      <c r="F17" s="256">
        <v>0</v>
      </c>
      <c r="G17" s="256">
        <v>0</v>
      </c>
      <c r="H17" s="257">
        <v>0</v>
      </c>
      <c r="I17" s="285"/>
      <c r="J17" s="280" t="str">
        <f t="shared" si="0"/>
        <v/>
      </c>
      <c r="K17" s="39"/>
    </row>
    <row r="18" spans="1:11">
      <c r="A18" s="41"/>
      <c r="B18" s="329"/>
      <c r="C18" s="331" t="s">
        <v>50</v>
      </c>
      <c r="D18" s="332"/>
      <c r="E18" s="330"/>
      <c r="F18" s="39"/>
      <c r="I18" s="333" t="s">
        <v>51</v>
      </c>
      <c r="J18" s="334">
        <f>SUM($J$6:$J$17)</f>
        <v>13579969.347646294</v>
      </c>
      <c r="K18" s="39"/>
    </row>
    <row r="19" spans="1:11" ht="15.75" thickBot="1">
      <c r="A19" s="40"/>
      <c r="B19" s="40"/>
      <c r="C19" s="39"/>
      <c r="D19" s="39"/>
      <c r="E19" s="39"/>
      <c r="F19" s="39"/>
      <c r="G19" s="39"/>
      <c r="H19" s="39"/>
      <c r="I19" s="336" t="s">
        <v>52</v>
      </c>
      <c r="J19" s="335">
        <f>J18/RemLifeTimDef</f>
        <v>339499.23369115737</v>
      </c>
      <c r="K19" s="39"/>
    </row>
    <row r="20" spans="1:11" ht="33" customHeight="1">
      <c r="A20" s="40"/>
      <c r="B20" s="374" t="s">
        <v>53</v>
      </c>
      <c r="C20" s="375"/>
      <c r="D20" s="375"/>
      <c r="E20" s="375"/>
      <c r="F20" s="375"/>
      <c r="G20" s="375"/>
      <c r="H20" s="375"/>
      <c r="I20" s="375"/>
      <c r="J20" s="327"/>
      <c r="K20" s="39"/>
    </row>
    <row r="21" spans="1:11" ht="28.5" customHeight="1">
      <c r="A21" s="40"/>
      <c r="B21" s="376" t="s">
        <v>54</v>
      </c>
      <c r="C21" s="377"/>
      <c r="D21" s="377"/>
      <c r="E21" s="377"/>
      <c r="F21" s="377"/>
      <c r="G21" s="377"/>
      <c r="H21" s="377"/>
      <c r="I21" s="377"/>
      <c r="J21" s="328"/>
      <c r="K21" s="39"/>
    </row>
    <row r="22" spans="1:11">
      <c r="A22" s="40"/>
      <c r="B22" s="40"/>
      <c r="C22" s="39"/>
      <c r="D22" s="39"/>
      <c r="E22" s="39"/>
      <c r="F22" s="39"/>
      <c r="G22" s="39"/>
      <c r="H22" s="39"/>
      <c r="I22" s="39"/>
      <c r="J22" s="39"/>
      <c r="K22" s="39"/>
    </row>
  </sheetData>
  <mergeCells count="4">
    <mergeCell ref="B20:I20"/>
    <mergeCell ref="B21:I21"/>
    <mergeCell ref="C3:D3"/>
    <mergeCell ref="D4:H4"/>
  </mergeCells>
  <conditionalFormatting sqref="D6:H17">
    <cfRule type="expression" dxfId="23" priority="1">
      <formula>IF(MATCH($I6,$D$5:$H$5,0)=COLUMN(D6)-COLUMN($C6),1,0)</formula>
    </cfRule>
  </conditionalFormatting>
  <dataValidations count="15">
    <dataValidation type="list" allowBlank="1" showInputMessage="1" showErrorMessage="1" promptTitle="Line length:" prompt="Length chosen to correct the calculation performed on the blade [life cycle costing] (the blade defaults to 100 meters) " sqref="C4" xr:uid="{00000000-0002-0000-0100-000000000000}">
      <formula1>$C$6:$C$17</formula1>
    </dataValidation>
    <dataValidation type="list" allowBlank="1" showInputMessage="1" showErrorMessage="1" promptTitle="Scenario:" prompt="The scenario by which the CUI mechanism is managed. " sqref="C3:D3" xr:uid="{00000000-0002-0000-0100-000001000000}">
      <formula1>$D$5:$H$5</formula1>
    </dataValidation>
    <dataValidation type="list" allowBlank="1" showInputMessage="1" showErrorMessage="1" promptTitle="Scenario choice:" prompt="Select the scenario that has been identified as appropriate for  the relevant pipe." sqref="I6:I17" xr:uid="{00000000-0002-0000-0100-000002000000}">
      <formula1>$D$5:$H$5</formula1>
    </dataValidation>
    <dataValidation type="custom" allowBlank="1" showInputMessage="1" showErrorMessage="1" errorTitle="Please note:" error="This cell is protected in order to prevent unwanted changes to the calculation." promptTitle="Choice from 5 scenario options:" prompt="The maintenance scenario that has been established for the relevant pipeline, given its function and condition (or the risk profile of that pipeline) and the available budget. " sqref="I5" xr:uid="{00000000-0002-0000-0100-000003000000}">
      <formula1>0</formula1>
    </dataValidation>
    <dataValidation type="custom" showInputMessage="1" showErrorMessage="1" errorTitle="Nota bene:" error="Deze cel is afgeschermd om ongewenste verandering van de berekening te voorkomen." sqref="A19:A22 C19 B1:K1 I2 E2:H3 I19 A2:A18 I3 I4 B2:I2 K2:K22 I22 B18:B19 J2:J4 B22:H22 I18 D18:H19 J18:J22 B1:B2" xr:uid="{00000000-0002-0000-0100-000004000000}">
      <formula1>0</formula1>
    </dataValidation>
    <dataValidation allowBlank="1" showInputMessage="1" showErrorMessage="1" promptTitle="Line data (length):" prompt="Enter in this cell the pipe data that are applicable in - and representative for - the specific company situation." sqref="C6:C15 C16:C17" xr:uid="{00000000-0002-0000-0100-000005000000}"/>
    <dataValidation type="custom" showInputMessage="1" showErrorMessage="1" errorTitle="Please note:" error="This cell is protected in order to prevent unwanted changes to the calculation." promptTitle="Scenario in [Life cycle costing]" prompt="For details on the elements of the calculation, see tab [Life cycle costing] under the lines with this header." sqref="D5:H5" xr:uid="{00000000-0002-0000-0100-000006000000}">
      <formula1>0</formula1>
    </dataValidation>
    <dataValidation type="custom" showInputMessage="1" showErrorMessage="1" errorTitle="Nota bene:" error="Deze cel is afgeschermd om ongewenste verandering van de berekening te voorkomen." promptTitle="Costs:" prompt="The costs related to the scenario that is considered the best approach for the specific system that is being considered._x000a__x000a_The selected scenario is highlighted (Yellow)." sqref="J6:J17" xr:uid="{00000000-0002-0000-0100-000007000000}">
      <formula1>0</formula1>
    </dataValidation>
    <dataValidation type="custom" showInputMessage="1" showErrorMessage="1" errorTitle="Please note:" error="This cell is protected in order to prevent unwanted changes to the calculation." promptTitle="Costs for maintenance scenario" prompt="The costs which result with the selected maintenance scenario and the line lenght that has been entered in the adjacent 2 lines aboven this line._x000a_The same type of calculation is applied in each of the lines below. Choice of scenario in 2nd last column." sqref="C5" xr:uid="{00000000-0002-0000-0100-000008000000}">
      <formula1>0</formula1>
    </dataValidation>
    <dataValidation allowBlank="1" showInputMessage="1" showErrorMessage="1" promptTitle="Line datas:" prompt="Enter in this cell the pipe data that are applicable in the specific company situation." sqref="B6:B17" xr:uid="{00000000-0002-0000-0100-000009000000}"/>
    <dataValidation type="custom" showInputMessage="1" showErrorMessage="1" errorTitle="Please note:" error="This cell is protected in order to prevent unwanted changes to the calculation." promptTitle="Costs with sample calculation:" prompt="The costs which result with the selected maintenance scenario and the line lenght that has been entered in the adjacent 2 lines aboven this line._x000a_The same type of calculation is applied in each of the lines below." sqref="B5" xr:uid="{00000000-0002-0000-0100-00000A000000}">
      <formula1>0</formula1>
    </dataValidation>
    <dataValidation showInputMessage="1" showErrorMessage="1" errorTitle="Please note:" error="This cell is protected in order to prevent unwanted changes to the calculation." promptTitle="Scenario's" prompt="Each scenario comprises a description of the system (left column, free field), length of that system (2nd column) and various scenario options (columns below). _x000a_For each the costs are calculated, after which the most costs-effective one can be selected." sqref="D4:H4" xr:uid="{00000000-0002-0000-0100-00000B000000}"/>
    <dataValidation type="custom" showInputMessage="1" showErrorMessage="1" errorTitle="Please note:" error="This cell is protected in order to prevent unwanted changes to the calculation." sqref="D6:H17 A1 B3:B4 B20:I21" xr:uid="{00000000-0002-0000-0100-00000E000000}">
      <formula1>0</formula1>
    </dataValidation>
    <dataValidation type="custom" showInputMessage="1" showErrorMessage="1" errorTitle="Please note:" error="This cell is protected in order to prevent unwanted changes to the calculation." promptTitle="Costs:" prompt="The costs for the selected option (1 out of the five), which then are summed in order to determine the costs for the complete system." sqref="J5" xr:uid="{00000000-0002-0000-0100-00000F000000}">
      <formula1>0</formula1>
    </dataValidation>
    <dataValidation type="custom" showInputMessage="1" showErrorMessage="1" promptTitle="Line data (length):" prompt="Enter in the column above this cell the pipe data that are applicable in - and representative for - the specific company situation." sqref="C18" xr:uid="{00000000-0002-0000-0100-000012000000}">
      <formula1>0</formula1>
    </dataValidation>
  </dataValidations>
  <pageMargins left="0.7" right="0.7" top="0.75" bottom="0.75" header="0.3" footer="0.3"/>
  <pageSetup paperSize="9"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sheetPr>
  <dimension ref="A1:AV87"/>
  <sheetViews>
    <sheetView zoomScale="85" zoomScaleNormal="85" workbookViewId="0">
      <selection activeCell="D6" sqref="D6"/>
    </sheetView>
  </sheetViews>
  <sheetFormatPr defaultColWidth="0" defaultRowHeight="15" zeroHeight="1" outlineLevelCol="1"/>
  <cols>
    <col min="1" max="1" width="105.7109375" customWidth="1" collapsed="1"/>
    <col min="2" max="2" width="89" hidden="1" customWidth="1" outlineLevel="1"/>
    <col min="3" max="3" width="13.5703125" hidden="1" customWidth="1" outlineLevel="1"/>
    <col min="4" max="4" width="14.85546875" customWidth="1"/>
    <col min="5" max="5" width="12.85546875" customWidth="1"/>
    <col min="6" max="6" width="16.42578125" customWidth="1"/>
    <col min="7" max="7" width="9" customWidth="1"/>
    <col min="8" max="8" width="10" customWidth="1"/>
    <col min="9" max="16384" width="10" hidden="1"/>
  </cols>
  <sheetData>
    <row r="1" spans="1:7" ht="108.75" customHeight="1">
      <c r="A1" s="286" t="s">
        <v>55</v>
      </c>
      <c r="B1" s="47" t="s">
        <v>56</v>
      </c>
    </row>
    <row r="2" spans="1:7"/>
    <row r="3" spans="1:7" ht="15.75" thickBot="1">
      <c r="A3" s="19" t="s">
        <v>57</v>
      </c>
      <c r="B3" s="19" t="s">
        <v>58</v>
      </c>
      <c r="C3" s="26"/>
      <c r="D3" s="258"/>
      <c r="E3" s="1"/>
      <c r="F3" s="1"/>
    </row>
    <row r="4" spans="1:7" ht="15.75">
      <c r="A4" s="20" t="s">
        <v>59</v>
      </c>
      <c r="B4" s="3" t="s">
        <v>60</v>
      </c>
      <c r="C4" s="27"/>
      <c r="D4" s="288">
        <v>4</v>
      </c>
      <c r="E4" s="387" t="s">
        <v>61</v>
      </c>
      <c r="F4" s="387"/>
    </row>
    <row r="5" spans="1:7" ht="15.75">
      <c r="A5" s="20" t="s">
        <v>62</v>
      </c>
      <c r="B5" s="3" t="s">
        <v>63</v>
      </c>
      <c r="C5" s="27"/>
      <c r="D5" s="289">
        <v>4</v>
      </c>
      <c r="E5" s="387"/>
      <c r="F5" s="387"/>
    </row>
    <row r="6" spans="1:7">
      <c r="A6" s="20"/>
      <c r="B6" s="3"/>
      <c r="C6" s="27"/>
      <c r="D6" s="259">
        <f>10^D5</f>
        <v>10000</v>
      </c>
      <c r="E6" s="4"/>
      <c r="F6" s="4"/>
    </row>
    <row r="7" spans="1:7" ht="45.75" thickBot="1">
      <c r="A7" s="317" t="s">
        <v>64</v>
      </c>
      <c r="B7" s="24" t="s">
        <v>65</v>
      </c>
      <c r="C7" s="28"/>
      <c r="D7" s="21" t="s">
        <v>66</v>
      </c>
      <c r="E7" s="21" t="s">
        <v>67</v>
      </c>
      <c r="F7" s="4"/>
    </row>
    <row r="8" spans="1:7">
      <c r="A8" s="316" t="s">
        <v>68</v>
      </c>
      <c r="B8" s="20" t="s">
        <v>69</v>
      </c>
      <c r="C8" s="27"/>
      <c r="D8" s="5">
        <v>100</v>
      </c>
      <c r="E8" s="3" t="s">
        <v>70</v>
      </c>
      <c r="F8" s="4"/>
    </row>
    <row r="9" spans="1:7">
      <c r="A9" s="316" t="s">
        <v>71</v>
      </c>
      <c r="B9" s="20" t="s">
        <v>72</v>
      </c>
      <c r="C9" s="27"/>
      <c r="D9" s="4"/>
      <c r="E9" s="4"/>
      <c r="F9" s="4"/>
    </row>
    <row r="10" spans="1:7">
      <c r="A10" s="316" t="s">
        <v>73</v>
      </c>
      <c r="B10" s="20" t="s">
        <v>74</v>
      </c>
      <c r="C10" s="27"/>
      <c r="D10" s="364">
        <v>40</v>
      </c>
      <c r="E10" s="3" t="s">
        <v>75</v>
      </c>
      <c r="F10" s="4"/>
    </row>
    <row r="11" spans="1:7">
      <c r="A11" s="316" t="s">
        <v>76</v>
      </c>
      <c r="B11" s="20" t="s">
        <v>77</v>
      </c>
      <c r="C11" s="27"/>
      <c r="D11" s="4"/>
      <c r="E11" s="4"/>
      <c r="F11" s="4"/>
    </row>
    <row r="12" spans="1:7">
      <c r="A12" s="316" t="s">
        <v>78</v>
      </c>
      <c r="B12" s="20" t="s">
        <v>79</v>
      </c>
      <c r="C12" s="27"/>
      <c r="D12" s="361">
        <v>0.2</v>
      </c>
      <c r="E12" s="4"/>
      <c r="F12" s="4"/>
    </row>
    <row r="13" spans="1:7">
      <c r="A13" s="316" t="s">
        <v>80</v>
      </c>
      <c r="B13" s="20" t="s">
        <v>81</v>
      </c>
      <c r="C13" s="27"/>
      <c r="D13" s="362">
        <v>10</v>
      </c>
      <c r="E13" s="4"/>
      <c r="F13" s="4"/>
    </row>
    <row r="14" spans="1:7">
      <c r="A14" s="316" t="s">
        <v>82</v>
      </c>
      <c r="B14" s="20" t="s">
        <v>83</v>
      </c>
      <c r="C14" s="27"/>
      <c r="D14" s="363">
        <v>2</v>
      </c>
      <c r="E14" s="4"/>
      <c r="F14" s="4"/>
    </row>
    <row r="15" spans="1:7">
      <c r="A15" s="3"/>
      <c r="B15" s="3"/>
      <c r="C15" s="27"/>
      <c r="D15" s="6"/>
      <c r="E15" s="4"/>
      <c r="F15" s="4"/>
    </row>
    <row r="16" spans="1:7" ht="30.75">
      <c r="A16" s="388" t="s">
        <v>84</v>
      </c>
      <c r="B16" s="389"/>
      <c r="C16" s="35" t="s">
        <v>85</v>
      </c>
      <c r="D16" s="36" t="s">
        <v>86</v>
      </c>
      <c r="E16" s="36" t="s">
        <v>87</v>
      </c>
      <c r="F16" s="36" t="s">
        <v>88</v>
      </c>
      <c r="G16" s="268"/>
    </row>
    <row r="17" spans="1:48" ht="15.75" thickBot="1">
      <c r="A17" s="321" t="s">
        <v>39</v>
      </c>
      <c r="B17" s="12" t="s">
        <v>89</v>
      </c>
      <c r="C17" s="33"/>
      <c r="D17" s="34"/>
      <c r="E17" s="34"/>
      <c r="F17" s="287">
        <f>ROW(F28)-ROW()</f>
        <v>11</v>
      </c>
    </row>
    <row r="18" spans="1:48">
      <c r="A18" s="315" t="s">
        <v>90</v>
      </c>
      <c r="B18" s="3" t="s">
        <v>91</v>
      </c>
      <c r="C18" s="27"/>
      <c r="D18" s="365">
        <v>4000</v>
      </c>
      <c r="E18" s="366">
        <v>20</v>
      </c>
      <c r="F18" s="9">
        <f>D18*TRUNC($D$10/E18)</f>
        <v>8000</v>
      </c>
    </row>
    <row r="19" spans="1:48">
      <c r="A19" s="315" t="s">
        <v>92</v>
      </c>
      <c r="B19" s="3" t="s">
        <v>93</v>
      </c>
      <c r="C19" s="27"/>
      <c r="D19" s="367">
        <v>300</v>
      </c>
      <c r="E19" s="368">
        <v>5</v>
      </c>
      <c r="F19" s="9">
        <f>D19*TRUNC($D$10/E19)</f>
        <v>2400</v>
      </c>
    </row>
    <row r="20" spans="1:48">
      <c r="A20" s="315" t="s">
        <v>94</v>
      </c>
      <c r="B20" s="3" t="s">
        <v>95</v>
      </c>
      <c r="C20" s="27"/>
      <c r="D20" s="367">
        <v>320</v>
      </c>
      <c r="E20" s="368">
        <v>10</v>
      </c>
      <c r="F20" s="9">
        <f>D20*TRUNC(IF(ISBLANK($D$10),RemLifeTimDef,$D$10)/IF(ISBLANK(E20),VisInspIntDef,E20))</f>
        <v>1280</v>
      </c>
    </row>
    <row r="21" spans="1:48">
      <c r="A21" s="315" t="s">
        <v>96</v>
      </c>
      <c r="B21" s="3" t="s">
        <v>97</v>
      </c>
      <c r="C21" s="27"/>
      <c r="D21" s="367">
        <v>720</v>
      </c>
      <c r="E21" s="368">
        <v>5</v>
      </c>
      <c r="F21" s="9">
        <f t="shared" ref="F21:F26" si="0">D21*TRUNC($D$10/E21)</f>
        <v>5760</v>
      </c>
    </row>
    <row r="22" spans="1:48">
      <c r="A22" s="315" t="s">
        <v>98</v>
      </c>
      <c r="B22" s="3" t="s">
        <v>99</v>
      </c>
      <c r="C22" s="27"/>
      <c r="D22" s="367">
        <v>300</v>
      </c>
      <c r="E22" s="368">
        <v>5</v>
      </c>
      <c r="F22" s="9">
        <f t="shared" si="0"/>
        <v>2400</v>
      </c>
    </row>
    <row r="23" spans="1:48">
      <c r="A23" s="315" t="s">
        <v>100</v>
      </c>
      <c r="B23" s="3" t="s">
        <v>101</v>
      </c>
      <c r="C23" s="27"/>
      <c r="D23" s="367">
        <v>18000</v>
      </c>
      <c r="E23" s="368">
        <v>10</v>
      </c>
      <c r="F23" s="9">
        <f t="shared" si="0"/>
        <v>72000</v>
      </c>
    </row>
    <row r="24" spans="1:48">
      <c r="A24" s="315" t="s">
        <v>102</v>
      </c>
      <c r="B24" s="3" t="s">
        <v>103</v>
      </c>
      <c r="C24" s="27"/>
      <c r="D24" s="367">
        <v>3400</v>
      </c>
      <c r="E24" s="368">
        <v>10</v>
      </c>
      <c r="F24" s="9">
        <f t="shared" si="0"/>
        <v>13600</v>
      </c>
    </row>
    <row r="25" spans="1:48">
      <c r="A25" s="315" t="s">
        <v>104</v>
      </c>
      <c r="B25" s="3" t="s">
        <v>105</v>
      </c>
      <c r="C25" s="27"/>
      <c r="D25" s="367">
        <v>1500</v>
      </c>
      <c r="E25" s="368">
        <v>10</v>
      </c>
      <c r="F25" s="9">
        <f t="shared" si="0"/>
        <v>6000</v>
      </c>
    </row>
    <row r="26" spans="1:48">
      <c r="A26" s="315" t="s">
        <v>106</v>
      </c>
      <c r="B26" s="3" t="s">
        <v>107</v>
      </c>
      <c r="C26" s="27"/>
      <c r="D26" s="367">
        <v>400</v>
      </c>
      <c r="E26" s="368">
        <v>40</v>
      </c>
      <c r="F26" s="9">
        <f t="shared" si="0"/>
        <v>400</v>
      </c>
    </row>
    <row r="27" spans="1:48">
      <c r="A27" s="315" t="s">
        <v>108</v>
      </c>
      <c r="B27" s="3" t="s">
        <v>109</v>
      </c>
      <c r="C27" s="27"/>
      <c r="D27" s="4"/>
      <c r="E27" s="4"/>
      <c r="F27" s="4"/>
      <c r="AV27" s="1"/>
    </row>
    <row r="28" spans="1:48">
      <c r="A28" s="322" t="s">
        <v>110</v>
      </c>
      <c r="B28" s="7" t="s">
        <v>111</v>
      </c>
      <c r="C28" s="30"/>
      <c r="D28" s="8"/>
      <c r="E28" s="8"/>
      <c r="F28" s="10">
        <f>SUM(F18:F26)</f>
        <v>111840</v>
      </c>
    </row>
    <row r="29" spans="1:48">
      <c r="A29" s="315"/>
      <c r="B29" s="3"/>
      <c r="C29" s="27"/>
      <c r="D29" s="4"/>
      <c r="E29" s="4"/>
      <c r="F29" s="4"/>
    </row>
    <row r="30" spans="1:48" ht="60.75" thickBot="1">
      <c r="A30" s="18"/>
      <c r="B30" s="12" t="s">
        <v>112</v>
      </c>
      <c r="C30" s="31"/>
      <c r="D30" s="16" t="s">
        <v>113</v>
      </c>
      <c r="E30" s="16" t="s">
        <v>114</v>
      </c>
      <c r="F30" s="16" t="s">
        <v>115</v>
      </c>
    </row>
    <row r="31" spans="1:48" ht="15.75" thickBot="1">
      <c r="A31" s="319" t="s">
        <v>35</v>
      </c>
      <c r="B31" s="17"/>
      <c r="C31" s="32"/>
      <c r="D31" s="16"/>
      <c r="E31" s="16"/>
      <c r="F31" s="287">
        <f>ROW(F40)-ROW()</f>
        <v>9</v>
      </c>
      <c r="AL31" t="s">
        <v>116</v>
      </c>
      <c r="AM31" t="s">
        <v>117</v>
      </c>
      <c r="AN31" t="s">
        <v>118</v>
      </c>
      <c r="AO31" t="s">
        <v>119</v>
      </c>
      <c r="AP31" t="s">
        <v>120</v>
      </c>
      <c r="AQ31" t="s">
        <v>121</v>
      </c>
      <c r="AR31" t="s">
        <v>122</v>
      </c>
      <c r="AS31" t="s">
        <v>123</v>
      </c>
      <c r="AT31" t="s">
        <v>124</v>
      </c>
      <c r="AU31" t="s">
        <v>125</v>
      </c>
    </row>
    <row r="32" spans="1:48">
      <c r="A32" s="314" t="s">
        <v>92</v>
      </c>
      <c r="B32" s="3" t="s">
        <v>126</v>
      </c>
      <c r="C32" s="27"/>
      <c r="D32" s="357">
        <v>300</v>
      </c>
      <c r="E32" s="359">
        <v>5</v>
      </c>
      <c r="F32" s="9">
        <f>D32*TRUNC(IF(ISBLANK($D$10),RemLifeTimDef,$D$10)/IF(ISBLANK(E32),ScrInspIntDef,E32))</f>
        <v>2400</v>
      </c>
      <c r="AP32">
        <v>300</v>
      </c>
      <c r="AV32">
        <f>SUM(G32:AU32)</f>
        <v>300</v>
      </c>
    </row>
    <row r="33" spans="1:48">
      <c r="A33" s="314" t="s">
        <v>127</v>
      </c>
      <c r="B33" s="3" t="s">
        <v>128</v>
      </c>
      <c r="C33" s="27"/>
      <c r="D33" s="358">
        <f>2400/2</f>
        <v>1200</v>
      </c>
      <c r="E33" s="360">
        <v>5</v>
      </c>
      <c r="F33" s="9">
        <f>D33*TRUNC(IF(ISBLANK($D$10),RemLifeTimDef,$D$10)/IF(ISBLANK(E33),ScrInspIntDef,E33))</f>
        <v>9600</v>
      </c>
      <c r="AP33">
        <v>1500</v>
      </c>
      <c r="AV33">
        <f t="shared" ref="AV33:AV37" si="1">SUM(G33:AU33)</f>
        <v>1500</v>
      </c>
    </row>
    <row r="34" spans="1:48">
      <c r="A34" s="314" t="s">
        <v>129</v>
      </c>
      <c r="B34" s="3" t="s">
        <v>130</v>
      </c>
      <c r="C34" s="27"/>
      <c r="D34" s="358">
        <v>5000</v>
      </c>
      <c r="E34" s="360">
        <v>40</v>
      </c>
      <c r="F34" s="9">
        <f>D34*TRUNC(IF(ISBLANK($D$10),RemLifeTimDef,$D$10)/IF(ISBLANK(E34),RemLifeTimDef,E34))</f>
        <v>5000</v>
      </c>
      <c r="AV34">
        <f t="shared" si="1"/>
        <v>0</v>
      </c>
    </row>
    <row r="35" spans="1:48">
      <c r="A35" s="314" t="s">
        <v>131</v>
      </c>
      <c r="B35" s="3" t="s">
        <v>132</v>
      </c>
      <c r="C35" s="27"/>
      <c r="D35" s="358">
        <v>720</v>
      </c>
      <c r="E35" s="360">
        <v>5</v>
      </c>
      <c r="F35" s="9">
        <f>D35*TRUNC(IF(ISBLANK($D$10),RemLifeTimDef,$D$10)/IF(ISBLANK(E35),ScrInspIntDef,E35))</f>
        <v>5760</v>
      </c>
      <c r="AP35">
        <v>720</v>
      </c>
      <c r="AV35">
        <f t="shared" si="1"/>
        <v>720</v>
      </c>
    </row>
    <row r="36" spans="1:48">
      <c r="A36" s="314" t="s">
        <v>98</v>
      </c>
      <c r="B36" s="3" t="s">
        <v>133</v>
      </c>
      <c r="C36" s="27"/>
      <c r="D36" s="358">
        <v>300</v>
      </c>
      <c r="E36" s="360">
        <v>5</v>
      </c>
      <c r="F36" s="9">
        <f>D36*TRUNC(IF(ISBLANK($D$10),RemLifeTimDef,$D$10)/IF(ISBLANK(E36),ScrInspIntDef,E36))</f>
        <v>2400</v>
      </c>
      <c r="AP36">
        <v>300</v>
      </c>
      <c r="AV36">
        <f t="shared" si="1"/>
        <v>300</v>
      </c>
    </row>
    <row r="37" spans="1:48">
      <c r="A37" s="314" t="s">
        <v>102</v>
      </c>
      <c r="B37" s="3" t="s">
        <v>103</v>
      </c>
      <c r="C37" s="27"/>
      <c r="D37" s="358">
        <v>3400</v>
      </c>
      <c r="E37" s="360">
        <v>5</v>
      </c>
      <c r="F37" s="9">
        <f>D37*TRUNC(IF(ISBLANK($D$10),RemLifeTimDef,$D$10)/IF(ISBLANK(E37),ScrInspIntDef,E37))</f>
        <v>27200</v>
      </c>
      <c r="AP37">
        <v>3400</v>
      </c>
      <c r="AV37">
        <f t="shared" si="1"/>
        <v>3400</v>
      </c>
    </row>
    <row r="38" spans="1:48">
      <c r="A38" s="314" t="s">
        <v>134</v>
      </c>
      <c r="B38" s="3" t="s">
        <v>135</v>
      </c>
      <c r="C38" s="27"/>
      <c r="D38" s="358">
        <v>800</v>
      </c>
      <c r="E38" s="360">
        <v>5</v>
      </c>
      <c r="F38" s="9">
        <f>D38*TRUNC(IF(ISBLANK($D$10),RemLifeTimDef,$D$10)/IF(ISBLANK(E38),ScrInspIntDef,E38))</f>
        <v>6400</v>
      </c>
      <c r="AV38">
        <f>SUM(G38:AU38)</f>
        <v>0</v>
      </c>
    </row>
    <row r="39" spans="1:48">
      <c r="A39" s="314" t="s">
        <v>108</v>
      </c>
      <c r="B39" s="3" t="s">
        <v>109</v>
      </c>
      <c r="C39" s="27"/>
      <c r="D39" s="4"/>
      <c r="E39" s="4"/>
      <c r="F39" s="4"/>
      <c r="AV39" s="1">
        <f>SUM(AV32:AV38)</f>
        <v>6220</v>
      </c>
    </row>
    <row r="40" spans="1:48">
      <c r="A40" s="320" t="s">
        <v>110</v>
      </c>
      <c r="B40" s="7" t="s">
        <v>111</v>
      </c>
      <c r="C40" s="30"/>
      <c r="D40" s="8"/>
      <c r="E40" s="8"/>
      <c r="F40" s="10">
        <f>SUM(F32:F39)</f>
        <v>58760</v>
      </c>
      <c r="AV40" s="1"/>
    </row>
    <row r="41" spans="1:48">
      <c r="A41" s="3"/>
      <c r="B41" s="3"/>
      <c r="C41" s="27"/>
      <c r="D41" s="4"/>
      <c r="E41" s="4"/>
      <c r="F41" s="4"/>
    </row>
    <row r="42" spans="1:48" ht="15.75" thickBot="1">
      <c r="A42" s="318" t="s">
        <v>40</v>
      </c>
      <c r="B42" s="12" t="s">
        <v>136</v>
      </c>
      <c r="C42" s="29"/>
      <c r="D42" s="13"/>
      <c r="E42" s="13"/>
      <c r="F42" s="287">
        <f>ROW(F44)-ROW()</f>
        <v>2</v>
      </c>
    </row>
    <row r="43" spans="1:48">
      <c r="A43" s="313" t="s">
        <v>137</v>
      </c>
      <c r="B43" s="3" t="s">
        <v>138</v>
      </c>
      <c r="C43" s="27"/>
      <c r="D43" s="393" t="s">
        <v>139</v>
      </c>
      <c r="E43" s="393"/>
      <c r="F43" s="393"/>
      <c r="AV43" s="1">
        <v>200000</v>
      </c>
    </row>
    <row r="44" spans="1:48">
      <c r="A44" s="313" t="s">
        <v>140</v>
      </c>
      <c r="B44" s="3" t="s">
        <v>141</v>
      </c>
      <c r="C44" s="27"/>
      <c r="D44" s="4">
        <f>CHOOSE(D4,10^-5,10^-4,10^-3,10^-2,1)</f>
        <v>0.01</v>
      </c>
      <c r="E44" s="9">
        <f>10000000/20</f>
        <v>500000</v>
      </c>
      <c r="F44" s="25">
        <f>E44*D44*D10</f>
        <v>200000</v>
      </c>
    </row>
    <row r="45" spans="1:48">
      <c r="A45" s="323" t="s">
        <v>142</v>
      </c>
      <c r="B45" s="3" t="s">
        <v>143</v>
      </c>
      <c r="C45" s="27"/>
      <c r="D45" s="4"/>
      <c r="E45" s="4"/>
      <c r="F45" s="4"/>
    </row>
    <row r="46" spans="1:48">
      <c r="A46" s="3"/>
      <c r="B46" s="3"/>
      <c r="C46" s="27"/>
      <c r="D46" s="4"/>
      <c r="E46" s="4"/>
      <c r="F46" s="4"/>
    </row>
    <row r="47" spans="1:48" ht="15.75" thickBot="1">
      <c r="A47" s="15" t="s">
        <v>41</v>
      </c>
      <c r="B47" s="12" t="s">
        <v>144</v>
      </c>
      <c r="C47" s="29"/>
      <c r="D47" s="14"/>
      <c r="E47" s="14"/>
      <c r="F47" s="287">
        <f>ROW(F56)-ROW()</f>
        <v>9</v>
      </c>
      <c r="AL47" t="s">
        <v>116</v>
      </c>
      <c r="AM47" t="s">
        <v>117</v>
      </c>
      <c r="AN47" t="s">
        <v>118</v>
      </c>
      <c r="AO47" t="s">
        <v>119</v>
      </c>
      <c r="AP47" t="s">
        <v>120</v>
      </c>
      <c r="AQ47" t="s">
        <v>121</v>
      </c>
      <c r="AR47" t="s">
        <v>122</v>
      </c>
      <c r="AS47" t="s">
        <v>123</v>
      </c>
      <c r="AT47" t="s">
        <v>124</v>
      </c>
      <c r="AU47" t="s">
        <v>125</v>
      </c>
    </row>
    <row r="48" spans="1:48">
      <c r="A48" s="3" t="s">
        <v>145</v>
      </c>
      <c r="B48" s="3" t="s">
        <v>146</v>
      </c>
      <c r="C48" s="27"/>
      <c r="D48" s="353">
        <v>20000</v>
      </c>
      <c r="E48" s="354">
        <v>40</v>
      </c>
      <c r="F48" s="9">
        <f>D48*TRUNC(IF(ISBLANK($D$10),RemLifeTimDef,$D$10)/IF(ISBLANK(E48),RemLifeTimDef,E48))</f>
        <v>20000</v>
      </c>
      <c r="AV48">
        <f>SUM(G48:AU48)</f>
        <v>0</v>
      </c>
    </row>
    <row r="49" spans="1:48">
      <c r="A49" s="3" t="s">
        <v>92</v>
      </c>
      <c r="B49" s="3" t="s">
        <v>93</v>
      </c>
      <c r="C49" s="27"/>
      <c r="D49" s="355">
        <v>300</v>
      </c>
      <c r="E49" s="356">
        <v>5</v>
      </c>
      <c r="F49" s="9">
        <f>D49*TRUNC(IF(ISBLANK($D$10),RemLifeTimDef,$D$10)/IF(ISBLANK(E49),ScrInspIntDef,E49))</f>
        <v>2400</v>
      </c>
      <c r="AV49">
        <f t="shared" ref="AV49:AV54" si="2">SUM(G49:AU49)</f>
        <v>0</v>
      </c>
    </row>
    <row r="50" spans="1:48">
      <c r="A50" s="3" t="s">
        <v>147</v>
      </c>
      <c r="B50" s="3" t="s">
        <v>148</v>
      </c>
      <c r="C50" s="27"/>
      <c r="D50" s="355">
        <v>720</v>
      </c>
      <c r="E50" s="356">
        <v>10</v>
      </c>
      <c r="F50" s="9">
        <f t="shared" ref="F50:F53" si="3">D50*TRUNC($D$10/E50)</f>
        <v>2880</v>
      </c>
      <c r="AV50">
        <f t="shared" si="2"/>
        <v>0</v>
      </c>
    </row>
    <row r="51" spans="1:48">
      <c r="A51" s="3" t="s">
        <v>149</v>
      </c>
      <c r="B51" s="3" t="s">
        <v>150</v>
      </c>
      <c r="C51" s="27"/>
      <c r="D51" s="355">
        <v>300</v>
      </c>
      <c r="E51" s="356">
        <v>10</v>
      </c>
      <c r="F51" s="9">
        <f t="shared" si="3"/>
        <v>1200</v>
      </c>
      <c r="AV51">
        <f t="shared" si="2"/>
        <v>0</v>
      </c>
    </row>
    <row r="52" spans="1:48">
      <c r="A52" s="3" t="s">
        <v>151</v>
      </c>
      <c r="B52" s="3" t="s">
        <v>101</v>
      </c>
      <c r="C52" s="27"/>
      <c r="D52" s="355">
        <v>18000</v>
      </c>
      <c r="E52" s="356">
        <v>40</v>
      </c>
      <c r="F52" s="9">
        <f>D52*TRUNC(IF(ISBLANK($D$10),RemLifeTimDef,$D$10)/IF(ISBLANK(E52),RemLifeTimDef,E52))</f>
        <v>18000</v>
      </c>
      <c r="AV52">
        <f t="shared" si="2"/>
        <v>0</v>
      </c>
    </row>
    <row r="53" spans="1:48">
      <c r="A53" s="3" t="s">
        <v>102</v>
      </c>
      <c r="B53" s="3" t="s">
        <v>103</v>
      </c>
      <c r="C53" s="27"/>
      <c r="D53" s="355">
        <v>3400</v>
      </c>
      <c r="E53" s="356">
        <v>10</v>
      </c>
      <c r="F53" s="9">
        <f t="shared" si="3"/>
        <v>13600</v>
      </c>
      <c r="AV53">
        <f t="shared" si="2"/>
        <v>0</v>
      </c>
    </row>
    <row r="54" spans="1:48">
      <c r="A54" s="3" t="s">
        <v>104</v>
      </c>
      <c r="B54" s="3" t="s">
        <v>105</v>
      </c>
      <c r="C54" s="27"/>
      <c r="D54" s="355">
        <v>1500</v>
      </c>
      <c r="E54" s="356">
        <v>40</v>
      </c>
      <c r="F54" s="9">
        <f>D54*TRUNC(IF(ISBLANK($D$10),RemLifeTimDef,$D$10)/IF(ISBLANK(E54),RemLifeTimDef,E54))</f>
        <v>1500</v>
      </c>
      <c r="AV54">
        <f t="shared" si="2"/>
        <v>0</v>
      </c>
    </row>
    <row r="55" spans="1:48">
      <c r="A55" s="3" t="s">
        <v>152</v>
      </c>
      <c r="B55" s="3" t="s">
        <v>153</v>
      </c>
      <c r="C55" s="27"/>
      <c r="D55" s="4"/>
      <c r="E55" s="4"/>
      <c r="F55" s="4"/>
      <c r="AV55" s="1">
        <f>SUM(AV48:AV54)</f>
        <v>0</v>
      </c>
    </row>
    <row r="56" spans="1:48">
      <c r="A56" s="7" t="s">
        <v>110</v>
      </c>
      <c r="B56" s="7" t="s">
        <v>111</v>
      </c>
      <c r="C56" s="30"/>
      <c r="D56" s="8"/>
      <c r="E56" s="8"/>
      <c r="F56" s="10">
        <f>SUM(F48:F55)</f>
        <v>59580</v>
      </c>
    </row>
    <row r="57" spans="1:48"/>
    <row r="58" spans="1:48" ht="15.75" thickBot="1">
      <c r="A58" s="15" t="s">
        <v>42</v>
      </c>
      <c r="B58" s="12" t="s">
        <v>154</v>
      </c>
      <c r="C58" s="29"/>
      <c r="D58" s="14"/>
      <c r="E58" s="14"/>
      <c r="F58" s="287">
        <f>ROW(F81)-ROW()</f>
        <v>23</v>
      </c>
    </row>
    <row r="59" spans="1:48">
      <c r="A59" s="3" t="s">
        <v>92</v>
      </c>
      <c r="B59" s="3" t="s">
        <v>126</v>
      </c>
      <c r="C59" s="27"/>
      <c r="D59" s="369">
        <v>300</v>
      </c>
      <c r="E59" s="370">
        <v>5</v>
      </c>
      <c r="F59" s="9">
        <f>D59*TRUNC(IF(ISBLANK($D$10),RemLifeTimDef,$D$10)/IF(ISBLANK(E59),ScrInspIntDef,E59))</f>
        <v>2400</v>
      </c>
      <c r="G59" s="292"/>
    </row>
    <row r="60" spans="1:48">
      <c r="A60" s="239" t="s">
        <v>155</v>
      </c>
      <c r="B60" s="239" t="s">
        <v>156</v>
      </c>
      <c r="C60" s="240"/>
      <c r="D60" s="293"/>
      <c r="E60" s="291" t="s">
        <v>157</v>
      </c>
      <c r="F60" s="371" t="s">
        <v>158</v>
      </c>
      <c r="G60" s="290"/>
    </row>
    <row r="61" spans="1:48">
      <c r="A61" s="306" t="s">
        <v>159</v>
      </c>
      <c r="B61" s="3" t="s">
        <v>127</v>
      </c>
      <c r="C61" s="27"/>
      <c r="D61" s="9">
        <f>INDEX(NDT_Kosten,MATCH(A61,NDT_Technieken,0))</f>
        <v>320</v>
      </c>
      <c r="E61" s="11" t="str">
        <f>IF(D61=0,"Geen info","OK")</f>
        <v>OK</v>
      </c>
      <c r="F61" s="242"/>
      <c r="G61" s="383" t="s">
        <v>160</v>
      </c>
    </row>
    <row r="62" spans="1:48" ht="15.75">
      <c r="A62" s="299" t="s">
        <v>161</v>
      </c>
      <c r="B62" s="243" t="s">
        <v>162</v>
      </c>
      <c r="C62" s="238"/>
      <c r="D62" s="244" t="s">
        <v>163</v>
      </c>
      <c r="E62" s="241"/>
      <c r="F62" s="242"/>
      <c r="G62" s="383"/>
    </row>
    <row r="63" spans="1:48" ht="15.75">
      <c r="A63" s="300" t="s">
        <v>164</v>
      </c>
      <c r="B63" s="245" t="s">
        <v>165</v>
      </c>
      <c r="C63" s="237"/>
      <c r="D63" s="244" t="s">
        <v>163</v>
      </c>
      <c r="E63" s="241"/>
      <c r="F63" s="242"/>
      <c r="G63" s="383"/>
    </row>
    <row r="64" spans="1:48">
      <c r="A64" s="3" t="s">
        <v>166</v>
      </c>
      <c r="B64" s="3" t="s">
        <v>167</v>
      </c>
      <c r="C64" s="27"/>
      <c r="D64" s="302">
        <v>1</v>
      </c>
      <c r="E64" s="303">
        <v>5</v>
      </c>
      <c r="F64" s="9">
        <f>D61*D64*TRUNC(IF(ISBLANK($D$10),RemLifeTimDef,$D$10)/IF(ISBLANK(E64),ScrInspIntDef,E64))</f>
        <v>2560</v>
      </c>
      <c r="G64" s="383"/>
    </row>
    <row r="65" spans="1:7">
      <c r="A65" s="3" t="s">
        <v>168</v>
      </c>
      <c r="B65" s="3" t="s">
        <v>169</v>
      </c>
      <c r="C65" s="27"/>
      <c r="D65" s="304">
        <v>800</v>
      </c>
      <c r="E65" s="305">
        <v>5</v>
      </c>
      <c r="F65" s="9">
        <f>D65*TRUNC(IF(ISBLANK($D$10),RemLifeTimDef,$D$10)/IF(ISBLANK(E65),ScrInspIntDef,E65))</f>
        <v>6400</v>
      </c>
      <c r="G65" s="384"/>
    </row>
    <row r="66" spans="1:7">
      <c r="A66" s="239" t="s">
        <v>170</v>
      </c>
      <c r="B66" s="239" t="s">
        <v>171</v>
      </c>
      <c r="C66" s="240"/>
      <c r="D66" s="293"/>
      <c r="E66" s="291" t="s">
        <v>157</v>
      </c>
      <c r="F66" s="371" t="s">
        <v>158</v>
      </c>
      <c r="G66" s="290"/>
    </row>
    <row r="67" spans="1:7">
      <c r="A67" s="3" t="s">
        <v>172</v>
      </c>
      <c r="B67" s="3" t="s">
        <v>173</v>
      </c>
      <c r="C67" s="27"/>
      <c r="D67" s="390" t="s">
        <v>174</v>
      </c>
      <c r="E67" s="391"/>
      <c r="F67" s="392"/>
      <c r="G67" s="383" t="s">
        <v>175</v>
      </c>
    </row>
    <row r="68" spans="1:7" ht="18">
      <c r="A68" s="3" t="s">
        <v>176</v>
      </c>
      <c r="B68" s="3" t="s">
        <v>177</v>
      </c>
      <c r="C68" s="27"/>
      <c r="D68" s="246">
        <f>IFERROR(1-INDEX(NDTEff,FIND(INDEX(NDTEffRatings,MATCH(D67,Typicals,0),MATCH(A61,NDT_Technieken,0)),"ABCDE"),2),"?")</f>
        <v>1.0000000000000009E-2</v>
      </c>
      <c r="E68" s="241"/>
      <c r="F68" s="242"/>
      <c r="G68" s="383"/>
    </row>
    <row r="69" spans="1:7">
      <c r="A69" s="3" t="s">
        <v>178</v>
      </c>
      <c r="B69" s="3" t="s">
        <v>179</v>
      </c>
      <c r="C69" s="27"/>
      <c r="D69" s="373" t="s">
        <v>158</v>
      </c>
      <c r="E69" s="11"/>
      <c r="F69" s="247">
        <f>IFERROR(IF(F66&lt;&gt;"No",D68*F44,""),"?")</f>
        <v>2000.0000000000018</v>
      </c>
      <c r="G69" s="384"/>
    </row>
    <row r="70" spans="1:7">
      <c r="A70" s="239" t="s">
        <v>180</v>
      </c>
      <c r="B70" s="239" t="s">
        <v>181</v>
      </c>
      <c r="C70" s="240"/>
      <c r="D70" s="293"/>
      <c r="E70" s="291" t="s">
        <v>157</v>
      </c>
      <c r="F70" s="371" t="s">
        <v>158</v>
      </c>
      <c r="G70" s="290"/>
    </row>
    <row r="71" spans="1:7" ht="15" customHeight="1">
      <c r="A71" s="3" t="s">
        <v>182</v>
      </c>
      <c r="B71" s="3" t="s">
        <v>183</v>
      </c>
      <c r="C71" s="27"/>
      <c r="D71" s="347">
        <v>30</v>
      </c>
      <c r="E71" s="241"/>
      <c r="F71" s="242"/>
      <c r="G71" s="383" t="s">
        <v>184</v>
      </c>
    </row>
    <row r="72" spans="1:7">
      <c r="A72" s="3" t="s">
        <v>185</v>
      </c>
      <c r="B72" s="3" t="s">
        <v>186</v>
      </c>
      <c r="C72" s="27"/>
      <c r="D72" s="348">
        <v>16</v>
      </c>
      <c r="E72" s="241"/>
      <c r="F72" s="242"/>
      <c r="G72" s="385"/>
    </row>
    <row r="73" spans="1:7">
      <c r="A73" s="3" t="s">
        <v>187</v>
      </c>
      <c r="B73" s="3" t="s">
        <v>188</v>
      </c>
      <c r="C73" s="27"/>
      <c r="D73" s="348">
        <v>2</v>
      </c>
      <c r="E73" s="241"/>
      <c r="F73" s="242"/>
      <c r="G73" s="385"/>
    </row>
    <row r="74" spans="1:7">
      <c r="A74" s="3" t="s">
        <v>189</v>
      </c>
      <c r="B74" s="3" t="s">
        <v>190</v>
      </c>
      <c r="C74" s="27"/>
      <c r="D74" s="349">
        <v>2</v>
      </c>
      <c r="E74" s="260" t="s">
        <v>191</v>
      </c>
      <c r="F74" s="242"/>
      <c r="G74" s="385"/>
    </row>
    <row r="75" spans="1:7">
      <c r="A75" s="3" t="s">
        <v>192</v>
      </c>
      <c r="B75" s="3" t="s">
        <v>193</v>
      </c>
      <c r="C75" s="27"/>
      <c r="D75" s="9">
        <f ca="1">IFERROR('Input and Output'!J10,"Area beyond ref.")</f>
        <v>16931.597717259807</v>
      </c>
      <c r="E75" s="352">
        <v>5</v>
      </c>
      <c r="F75" s="9">
        <f ca="1">D75*TRUNC(IF(ISBLANK($D$10),RemLifeTimDef,$D$10)/IF(ISBLANK(E75),ScrInspIntDef,E75))</f>
        <v>135452.78173807845</v>
      </c>
      <c r="G75" s="386"/>
    </row>
    <row r="76" spans="1:7">
      <c r="A76" s="239" t="s">
        <v>194</v>
      </c>
      <c r="B76" s="239" t="s">
        <v>195</v>
      </c>
      <c r="C76" s="240"/>
      <c r="D76" s="293"/>
      <c r="E76" s="291" t="s">
        <v>157</v>
      </c>
      <c r="F76" s="372" t="s">
        <v>158</v>
      </c>
      <c r="G76" s="290"/>
    </row>
    <row r="77" spans="1:7">
      <c r="A77" s="3" t="s">
        <v>196</v>
      </c>
      <c r="B77" s="3" t="s">
        <v>197</v>
      </c>
      <c r="C77" s="27"/>
      <c r="D77" s="350" t="s">
        <v>198</v>
      </c>
      <c r="E77" s="241"/>
      <c r="F77" s="242"/>
      <c r="G77" s="383" t="s">
        <v>199</v>
      </c>
    </row>
    <row r="78" spans="1:7">
      <c r="A78" s="3" t="s">
        <v>200</v>
      </c>
      <c r="B78" s="3" t="s">
        <v>201</v>
      </c>
      <c r="C78" s="27"/>
      <c r="D78" s="351">
        <v>550</v>
      </c>
      <c r="E78" s="241"/>
      <c r="F78" s="242"/>
      <c r="G78" s="383"/>
    </row>
    <row r="79" spans="1:7">
      <c r="A79" s="3" t="s">
        <v>202</v>
      </c>
      <c r="B79" s="3" t="s">
        <v>203</v>
      </c>
      <c r="C79" s="27"/>
      <c r="D79" s="351">
        <v>40</v>
      </c>
      <c r="E79" s="260" t="s">
        <v>204</v>
      </c>
      <c r="F79" s="242"/>
      <c r="G79" s="383"/>
    </row>
    <row r="80" spans="1:7">
      <c r="A80" s="3" t="s">
        <v>205</v>
      </c>
      <c r="B80" s="3" t="s">
        <v>193</v>
      </c>
      <c r="C80" s="27"/>
      <c r="D80" s="9">
        <f ca="1">(100/5)*CHOOSE(FIND(LEFT(D77,1),"CH"),ColdIsolCosts,HotIsolCosts)</f>
        <v>16856.196083886673</v>
      </c>
      <c r="E80" s="352">
        <v>20</v>
      </c>
      <c r="F80" s="9">
        <f ca="1">D80*TRUNC(IF(ISBLANK($D$10),RemLifeTimDef,$D$10)/IF(ISBLANK(E80),RemLifeTimDef,E80))</f>
        <v>33712.392167773345</v>
      </c>
      <c r="G80" s="384"/>
    </row>
    <row r="81" spans="1:6">
      <c r="A81" s="7" t="s">
        <v>206</v>
      </c>
      <c r="B81" s="7" t="s">
        <v>207</v>
      </c>
      <c r="C81" s="30"/>
      <c r="D81" s="8"/>
      <c r="E81" s="8"/>
      <c r="F81" s="248">
        <f ca="1">SUM(F59,IF(F60&lt;&gt;"No",SUM(F61:F65),),IF(F66&lt;&gt;"No",SUM(F68:F69),),IF(F70&lt;&gt;"No",F71:F75,),IF(F76&lt;&gt;"No",SUM(F77:F80),))</f>
        <v>182525.17390585179</v>
      </c>
    </row>
    <row r="82" spans="1:6">
      <c r="D82" s="301">
        <f>FIND(INDEX(NDTEffRatings,MATCH(D67,Typicals,0),MATCH(A61,NDT_Technieken,0)),"ABCDE")</f>
        <v>1</v>
      </c>
    </row>
    <row r="87" spans="1:6"/>
  </sheetData>
  <mergeCells count="8">
    <mergeCell ref="G61:G65"/>
    <mergeCell ref="G77:G80"/>
    <mergeCell ref="G71:G75"/>
    <mergeCell ref="E4:F5"/>
    <mergeCell ref="A16:B16"/>
    <mergeCell ref="D67:F67"/>
    <mergeCell ref="G67:G69"/>
    <mergeCell ref="D43:F43"/>
  </mergeCells>
  <conditionalFormatting sqref="F76 F70 F66 F60">
    <cfRule type="cellIs" dxfId="22" priority="8" operator="equal">
      <formula>"Nee"</formula>
    </cfRule>
  </conditionalFormatting>
  <conditionalFormatting sqref="E61">
    <cfRule type="cellIs" dxfId="21" priority="7" operator="notEqual">
      <formula>"OK"</formula>
    </cfRule>
  </conditionalFormatting>
  <conditionalFormatting sqref="D72:D73 D75">
    <cfRule type="expression" dxfId="20" priority="6">
      <formula>IF($D$72*$D$73&gt;36,1,0)</formula>
    </cfRule>
  </conditionalFormatting>
  <conditionalFormatting sqref="D68 F69">
    <cfRule type="cellIs" dxfId="19" priority="5" operator="equal">
      <formula>"?"</formula>
    </cfRule>
  </conditionalFormatting>
  <conditionalFormatting sqref="D61:F65">
    <cfRule type="expression" dxfId="18" priority="4">
      <formula>IF($F$60="No",1,0)</formula>
    </cfRule>
  </conditionalFormatting>
  <conditionalFormatting sqref="D67:F69">
    <cfRule type="expression" dxfId="17" priority="3">
      <formula>IF($F$66="No",1,0)</formula>
    </cfRule>
  </conditionalFormatting>
  <conditionalFormatting sqref="D71:F75">
    <cfRule type="expression" dxfId="16" priority="2">
      <formula>IF($F$70="No",1,0)</formula>
    </cfRule>
  </conditionalFormatting>
  <conditionalFormatting sqref="D77:F80">
    <cfRule type="expression" dxfId="15" priority="1">
      <formula>IF($F$76="No",1,0)</formula>
    </cfRule>
  </conditionalFormatting>
  <dataValidations disablePrompts="1" xWindow="920" yWindow="520" count="62">
    <dataValidation type="custom" showInputMessage="1" showErrorMessage="1" errorTitle="Please note:" error="This cell is protected in order to prevent unwanted changes to the calculation." promptTitle="Pre-inspection" prompt="This element is required as per default, so has no option incorporated." sqref="F59" xr:uid="{00000000-0002-0000-0200-000000000000}">
      <formula1>0</formula1>
    </dataValidation>
    <dataValidation type="custom" showInputMessage="1" showErrorMessage="1" errorTitle="Please note:" error="This cell is protected in order to prevent unwanted changes to the calculation._x000a_The data entered here are fixed as a basis for calculation." promptTitle="Length / Lengte" prompt="The length of the pipeline system which is used in the calculations. Costs for other lenghts by ratio._x000a__x000a_De lengte van het pijpleiding systeem wat in de berekening hieronder als uitgangspunt is gebruikt. Kosten voor andere lengtes volgen naar rato._x000a_" sqref="D8" xr:uid="{00000000-0002-0000-0200-000001000000}">
      <formula1>0</formula1>
    </dataValidation>
    <dataValidation allowBlank="1" showInputMessage="1" showErrorMessage="1" promptTitle="Remaining Years of Use." prompt="The number of years during which, according to expectations, the installation will still be use as per today._x000a__x000a_Het aantal jaren gedurende welke, naar verwachting, nog gebruik gemaakt zal worden van de installatie- vanaf vandaag." sqref="D10" xr:uid="{00000000-0002-0000-0200-000002000000}"/>
    <dataValidation type="list" allowBlank="1" showInputMessage="1" showErrorMessage="1" promptTitle="Applied technique:" prompt="The technique to be applied, based on the available overview of applicable techniques. " sqref="A61" xr:uid="{00000000-0002-0000-0200-000003000000}">
      <formula1>NDT_Technieken</formula1>
    </dataValidation>
    <dataValidation type="list" allowBlank="1" showInputMessage="1" showErrorMessage="1" promptTitle="Bereikbaarheid:" prompt="Het gemak waarmee de techniek op de betreffende plaats toegepast kan worden._x000a_Er worden drie niveau's onderkend: Laag / Midden / Hoog._x000a_Dit heeft met name betrekking op de kosten; NIET zozeer op de effectiviteit." sqref="C63" xr:uid="{00000000-0002-0000-0200-000004000000}">
      <formula1>"Laag,Midden,Hoog"</formula1>
    </dataValidation>
    <dataValidation type="list" allowBlank="1" showInputMessage="1" showErrorMessage="1" promptTitle="Gevoeligheid:" prompt="De mate waarmee veranderingen in het onderzochte object in beeld gebracht kunnen worden._x000a_Er worden drie niveau's onderkend: Laag / Midden / Hoog" sqref="C62" xr:uid="{00000000-0002-0000-0200-000005000000}">
      <formula1>"Laag,Midden,Hoog"</formula1>
    </dataValidation>
    <dataValidation type="custom" showInputMessage="1" showErrorMessage="1" errorTitle="Data protected!" error="This cell is protected in order to prevent unwanted changes to the calculation." promptTitle="Consequences of failure:" prompt="The remainder of &quot;consequences of failure&quot; which is still present in this scenario._x000a_It is assumed that any damage found will be repaired as part of the management program. " sqref="F69" xr:uid="{00000000-0002-0000-0200-000006000000}">
      <formula1>0</formula1>
    </dataValidation>
    <dataValidation type="list" allowBlank="1" showInputMessage="1" showErrorMessage="1" errorTitle="Please note:" error="This cell is protected in order to prevent unwanted changes to the calculation." promptTitle="Type of insulation:" prompt="Two options are provided:_x000a_Heat insulation (heated systems)_x000a_Cold insulation (cooled piping systems) " sqref="D77" xr:uid="{00000000-0002-0000-0200-000007000000}">
      <formula1>"Heat insulation,Cold insulation"</formula1>
    </dataValidation>
    <dataValidation type="custom" showInputMessage="1" showErrorMessage="1" errorTitle="Data afgeschermd!" error="Deze gegevens zijn afgeschermd om incidentele wijziging van de cel te voorkomen." promptTitle="Gevoeligheid:" prompt="De mate waarmee veranderingen in het onderzochte object in beeld gebracht kunnen worden._x000a_Er worden drie niveau's onderkend: Laag / Midden / Hoog" sqref="B62" xr:uid="{00000000-0002-0000-0200-000008000000}">
      <formula1>0</formula1>
    </dataValidation>
    <dataValidation type="custom" showInputMessage="1" showErrorMessage="1" errorTitle="Data afgeschermd!" error="Deze gegevens zijn afgeschermd om incidentele wijziging van de cel te voorkomen." promptTitle="Bereikbaarheid:" prompt="Het gemak waarmee de techniek op de betreffende plaats toegepast kan worden._x000a_Er worden drie niveau's onderkend: Laag / Midden / Hoog._x000a_Dit heeft met name betrekking op de kosten; NIET zozeer op de effectiviteit." sqref="B63" xr:uid="{00000000-0002-0000-0200-000009000000}">
      <formula1>0</formula1>
    </dataValidation>
    <dataValidation type="list" allowBlank="1" showInputMessage="1" showErrorMessage="1" errorTitle="Please note:" error="This cell is protected in order to prevent unwanted changes to the calculation." promptTitle="Scenario Malfunction and repair:" prompt="Yes = Include the effect on that scenario as cost savings._x000a_No = DO NOT include that effect. " sqref="D69" xr:uid="{00000000-0002-0000-0200-00000A000000}">
      <formula1>"Yes,No"</formula1>
    </dataValidation>
    <dataValidation type="custom" showInputMessage="1" showErrorMessage="1" errorTitle="Data afgeschermd!" error="Deze gegevens zijn afgeschermd om incidentele wijziging van de formule te voorkomen." sqref="C76:D76 E8:E10 F64:F65 D44 C60:D60 F32:F40 D61 F48:F55 B81:E81" xr:uid="{00000000-0002-0000-0200-00000B000000}">
      <formula1>0</formula1>
    </dataValidation>
    <dataValidation type="custom" showInputMessage="1" showErrorMessage="1" errorTitle="Data afgeschermd!" error="Deze gegevens zijn afgeschermd om incidentele wijziging van de formule te voorkomen." promptTitle="Toelichting:" prompt="Op deze plaats wordt het scenario [Storing en reparatie] hergebruikt._x000a_De keuze om dit al dan niet toe te passen kan helemaal rechts worden gemaakt." sqref="C66" xr:uid="{00000000-0002-0000-0200-00000C000000}">
      <formula1>0</formula1>
    </dataValidation>
    <dataValidation type="custom" showInputMessage="1" showErrorMessage="1" errorTitle="Data afgeschermd." error="Deze gegevens zijn afgeschermd om incidentele wijziging van de cel te voorkomen." sqref="E62:F63 E68:F68 F61 E77:E78 F77:F79 F71:F74 E71:E73" xr:uid="{00000000-0002-0000-0200-00000D000000}">
      <formula1>0</formula1>
    </dataValidation>
    <dataValidation allowBlank="1" showInputMessage="1" showErrorMessage="1" errorTitle="Please note:" error="This cell is protected in order to prevent unwanted changes to the calculation." promptTitle="Fail-costs 100 metre length:" prompt="Failure costs per 100 meters of pipe length._x000a_If one failure situation occurs with certain costs for a system with length X, those costs can be normalized at the rate of 100 meters in length." sqref="E44" xr:uid="{00000000-0002-0000-0200-00000E000000}"/>
    <dataValidation type="custom" showInputMessage="1" showErrorMessage="1" errorTitle="Please note!" error="This cell is protected in order to prevent unwanted changes to the calculation." sqref="D75" xr:uid="{00000000-0002-0000-0200-00000F000000}">
      <formula1>0</formula1>
    </dataValidation>
    <dataValidation type="custom" showInputMessage="1" showErrorMessage="1" errorTitle="Gegevens afgeschermd!" error="Deze gegevens zijn afgeschermd om incidentele wijziging van de cel te voorkomen." sqref="B73:B75 C70:D70 A71:A75" xr:uid="{00000000-0002-0000-0200-000010000000}">
      <formula1>0</formula1>
    </dataValidation>
    <dataValidation type="custom" showInputMessage="1" showErrorMessage="1" errorTitle="Data afgeschermd!" error="Deze gegevens zijn afgeschermd om incidentele wijziging van de cel te voorkomen." sqref="A67:B68 A64:A65" xr:uid="{00000000-0002-0000-0200-000011000000}">
      <formula1>0</formula1>
    </dataValidation>
    <dataValidation type="list" allowBlank="1" showInputMessage="1" showErrorMessage="1" errorTitle="Probability category:" error="Deviating values in the probability category lead to inconsistencies in the methodology and are therefore not allowed. " promptTitle="Probability category:" prompt="The probability category as applicable from the risk assessment. " sqref="D4" xr:uid="{00000000-0002-0000-0200-000012000000}">
      <formula1>"1,2,3,4,5"</formula1>
    </dataValidation>
    <dataValidation type="list" allowBlank="1" showInputMessage="1" showErrorMessage="1" errorTitle="Consequence category:" error="Deviating values in the consequence category lead to inconsistencies in the methodology and are therefore not allowed. " promptTitle="Consequence category:" prompt="The category for effects of failure, as applicable from the risk assessment. This ranges from A to E, with the former being A, Category 1, and the latter, E, Category 5. " sqref="D5" xr:uid="{00000000-0002-0000-0200-000013000000}">
      <formula1>"1,2,3,4,5"</formula1>
    </dataValidation>
    <dataValidation type="custom" showInputMessage="1" showErrorMessage="1" errorTitle="Field is protected!" error="This field is protected in order  to prevent incidental changes to the formula." promptTitle="Damage consequences:" prompt="The capitalized damage consequences, as applicable according to NEN-EN 16991. Category 5 is &quot;greater than 10 Mio&quot; and in this spreadsheet is in line with the step size in the other categories, set at Max. 100 Mio €." sqref="D6" xr:uid="{00000000-0002-0000-0200-000014000000}">
      <formula1>0</formula1>
    </dataValidation>
    <dataValidation allowBlank="1" showInputMessage="1" showErrorMessage="1" promptTitle="Repetition:" prompt="The period by which a repetition of the action is foreseen._x000a_If nothing is entered, the standard terms will be used in the calculations as stated at the top of this spreadsheet." sqref="E75" xr:uid="{00000000-0002-0000-0200-000015000000}"/>
    <dataValidation allowBlank="1" showInputMessage="1" showErrorMessage="1" promptTitle="Repetition of replacement:" prompt="The term within which the action to renew the insulation will be repeated is foreseen._x000a_If nothing is entered, the standard terms will be used in the calculations as stated at the top of this spreadsheet. " sqref="E80" xr:uid="{00000000-0002-0000-0200-000016000000}"/>
    <dataValidation allowBlank="1" showInputMessage="1" showErrorMessage="1" promptTitle="Scaffolding length:" prompt="The length of the scaffold as it applies to the pipeline. Factors such as parts that do not require scaffolding and parts that are partially viewed are included in this._x000a__x000a_Note: the TNO cost model provides for ext. scaffolding surface area of max. 36 m²." sqref="D72" xr:uid="{00000000-0002-0000-0200-000017000000}"/>
    <dataValidation showInputMessage="1" showErrorMessage="1" errorTitle="Data afgeschermd!" error="Deze gegevens zijn afgeschermd om incidentele wijziging van de cel te voorkomen." sqref="A69:B69" xr:uid="{00000000-0002-0000-0200-000018000000}"/>
    <dataValidation type="custom" showInputMessage="1" showErrorMessage="1" errorTitle="Data afgeschermd!" error="Deze gegevens zijn afgeschermd om incidentele wijziging van de formule te voorkomen." promptTitle="Blok faalgevolg(risico) reductie" prompt="Op deze plaats wordt het scenario [Storing en reparatie] hergebruikt om de aanwezigheid van dit risico mee te nemen._x000a_De keuze om dit al dan niet toe te passen kan helemaal rechts worden gemaakt." sqref="B66" xr:uid="{00000000-0002-0000-0200-000019000000}">
      <formula1>0</formula1>
    </dataValidation>
    <dataValidation type="custom" showInputMessage="1" showErrorMessage="1" errorTitle="Gegevens afgeschermd!" error="Deze gegevens zijn afgeschermd om incidentele wijziging van de cel te voorkomen." promptTitle="Blok benodigd steiger materiaal" prompt="In dit blok kan de optie voor toe te passen steigermateriaal worden toegepast - of juist uitgeschakeld." sqref="B70" xr:uid="{00000000-0002-0000-0200-00001A000000}">
      <formula1>0</formula1>
    </dataValidation>
    <dataValidation type="custom" showInputMessage="1" showErrorMessage="1" errorTitle="Data afgeschermd!" error="Deze gegevens zijn afgeschermd om incidentele wijziging van de formule te voorkomen." promptTitle="Blok Nieuw isolatiemateriaal." prompt="In dit blok kan de optie om Nieuw Isolatiemateriaal toe te passen, worden toegevoegd - of juist uitgeschakeld." sqref="B76" xr:uid="{00000000-0002-0000-0200-00001B000000}">
      <formula1>0</formula1>
    </dataValidation>
    <dataValidation allowBlank="1" showInputMessage="1" showErrorMessage="1" promptTitle="Scaffolding width:" prompt="The width of the scaffold as it applies to the pipeline._x000a__x000a_Note: the TNO cost model provides for scaffolding dimensions of max. 36 m² surface area." sqref="D73" xr:uid="{00000000-0002-0000-0200-00001D000000}"/>
    <dataValidation allowBlank="1" showInputMessage="1" showErrorMessage="1" promptTitle="Scaffolding heigth:" prompt="The height of the scaffold as it applies to the pipeline._x000a_The TNO cost model provides for a maximum height of 30 meters for the scaffold. " sqref="D71" xr:uid="{00000000-0002-0000-0200-00001E000000}"/>
    <dataValidation type="custom" showInputMessage="1" showErrorMessage="1" errorTitle="Please note!" error="This cell is protected in order to prevent unwanted changes to the applied format." promptTitle="Reduction factor:" prompt="A small value identifies a LARGE effect on risk reduction._x000a_A value close to 1 indicates almost NO effect on risk reduction._x000a__x000a_So the smaller, the better!" sqref="D68" xr:uid="{00000000-0002-0000-0200-00001F000000}">
      <formula1>0</formula1>
    </dataValidation>
    <dataValidation type="custom" showInputMessage="1" showErrorMessage="1" errorTitle="Please note:" error="This cell is protected in order to prevent unwanted changes to the calculation." promptTitle="Help field:" prompt="Field in order to evaluate input provided above." sqref="D82" xr:uid="{00000000-0002-0000-0200-000020000000}">
      <formula1>0</formula1>
    </dataValidation>
    <dataValidation type="custom" showInputMessage="1" showErrorMessage="1" errorTitle="Nota bene!" error="De inhoud van deze cel is beschermd tegen wijzigen om de gehanteerde formules intact te houden." sqref="F18:F28" xr:uid="{00000000-0002-0000-0200-000021000000}">
      <formula1>0</formula1>
    </dataValidation>
    <dataValidation allowBlank="1" showInputMessage="1" showErrorMessage="1" errorTitle="Data afgeschermd!" error="Deze gegevens zijn afgeschermd om incidentele wijziging van de formule te voorkomen." sqref="F45" xr:uid="{00000000-0002-0000-0200-000022000000}"/>
    <dataValidation type="custom" showInputMessage="1" showErrorMessage="1" errorTitle="Data protected!" error="This cell is protected in order to prevent unwanted changes to the calculation." promptTitle="Insulation costs:" prompt="The cost of installing new insulation._x000a_The information for this comes from the [Source INSU 2002] tab. " sqref="D80" xr:uid="{00000000-0002-0000-0200-000023000000}">
      <formula1>0</formula1>
    </dataValidation>
    <dataValidation allowBlank="1" showInputMessage="1" showErrorMessage="1" promptTitle="Huidig risico niveau:" prompt="Dit zijn de invoedsfactoren die bepalen in welke mate er een noodzaak is om onderhoud te plannen." sqref="B3" xr:uid="{00000000-0002-0000-0200-000024000000}"/>
    <dataValidation type="custom" showInputMessage="1" showErrorMessage="1" errorTitle="Data afgeschermd!" error="Deze gegevens zijn afgeschermd om incidentele wijziging van de formule te voorkomen." promptTitle="Blok  toe te passen NDT techniek" prompt="In dit blok kan de optie voor een toe te passen Niet Destructieve Onderzoekstechniek worden toegepast - of juist uitgeschakeld." sqref="B60" xr:uid="{00000000-0002-0000-0200-000025000000}">
      <formula1>0</formula1>
    </dataValidation>
    <dataValidation type="custom" showInputMessage="1" showErrorMessage="1" errorTitle="Please note:" error="This cell is protected in order to prevent unwanted changes to the calculation." promptTitle="Apply section &quot;NDT technique&quot;:" prompt="Indicate here whether this section, in which the costs of a Non Destructive Testing Technique to be applied are determined, is applicable to this maintenance scenario. " sqref="E60" xr:uid="{00000000-0002-0000-0200-000026000000}">
      <formula1>0</formula1>
    </dataValidation>
    <dataValidation type="custom" showInputMessage="1" showErrorMessage="1" errorTitle="Please note:" error="This cell is protected in order to prevent unwanted changes to the applied format." promptTitle="Explanation:" prompt="In this place, the [Fault and repair] scenario is reused._x000a_The choice of whether or not to apply this can be made on the far right. " sqref="D66:E66" xr:uid="{00000000-0002-0000-0200-000027000000}">
      <formula1>0</formula1>
    </dataValidation>
    <dataValidation type="custom" showInputMessage="1" showErrorMessage="1" errorTitle="Please note:" error="This cell is protected in order to prevent unwanted changes to the applied format." promptTitle="Apply section scaffolding costs:" prompt="Select here whether the data relating to the costs of scaffolding should be applied in the cost price calculation." sqref="E70" xr:uid="{00000000-0002-0000-0200-000028000000}">
      <formula1>0</formula1>
    </dataValidation>
    <dataValidation type="custom" showInputMessage="1" showErrorMessage="1" errorTitle="Please note:" error="This cell is protected in order to prevent unwanted changes to the applied format." promptTitle="Apply block &quot;insulation costs&quot;:" prompt="Indicate here whether this section (block) with the data to calculate the costs of installing new insulation should be applied." sqref="E76" xr:uid="{00000000-0002-0000-0200-000029000000}">
      <formula1>0</formula1>
    </dataValidation>
    <dataValidation type="custom" showInputMessage="1" showErrorMessage="1" errorTitle="Please note:" error="This cell is protected in order to prevent unwanted changes to the applied calculation." promptTitle="Totalisation of costs:" prompt="The sum of all the items marked &quot;Yes&quot; above, combined with the ever-present costs of the pre-inspection. " sqref="F81" xr:uid="{00000000-0002-0000-0200-00002A000000}">
      <formula1>0</formula1>
    </dataValidation>
    <dataValidation type="custom" showInputMessage="1" showErrorMessage="1" errorTitle="Please note:" error="This cell is protected in order to prevent unwanted changes to the calculation." promptTitle="Current risk level:" prompt="These are the input factors that determine to what extent there is a need to plan maintenance. " sqref="A3" xr:uid="{00000000-0002-0000-0200-00002B000000}">
      <formula1>0</formula1>
    </dataValidation>
    <dataValidation type="custom" showInputMessage="1" showErrorMessage="1" errorTitle="Data afgeschermd!" error="Deze gegevens zijn afgeschermd om incidentele wijziging van de cel te voorkomen." promptTitle="Accessibility:" prompt="The ease with which the technology can be applied in the relevant place._x000a_Three levels are recognized: Low / Medium / High._x000a_This relates in particular to costs; NOT so much on effectiveness. " sqref="A63" xr:uid="{00000000-0002-0000-0200-00002C000000}">
      <formula1>0</formula1>
    </dataValidation>
    <dataValidation type="custom" showInputMessage="1" showErrorMessage="1" errorTitle="Data afgeschermd!" error="Deze gegevens zijn afgeschermd om incidentele wijziging van de cel te voorkomen." promptTitle="Sensitivity:" prompt="The extent to which changes in the examined object can be visualized._x000a_Three levels are recognized: Low / Medium / High " sqref="A62" xr:uid="{00000000-0002-0000-0200-00002D000000}">
      <formula1>0</formula1>
    </dataValidation>
    <dataValidation type="custom" showInputMessage="1" showErrorMessage="1" errorTitle="Please note:" error="This cell is protected in order to prevent unwanted changes to the calculation." promptTitle="Section Required scaffolding:" prompt="Section required scaffolding material:_x000a_In this section, the option for scaffolding material to be used can be applied - or switched off. " sqref="A70" xr:uid="{00000000-0002-0000-0200-00002E000000}">
      <formula1>0</formula1>
    </dataValidation>
    <dataValidation type="custom" showInputMessage="1" showErrorMessage="1" errorTitle="Please note:" error="This cell is protected in order to prevent unwanted changes to the calculation." promptTitle="Section New Insulation material." prompt="In this section, the option to apply New Insulation material can be added - or disabled. " sqref="A76" xr:uid="{00000000-0002-0000-0200-000030000000}">
      <formula1>0</formula1>
    </dataValidation>
    <dataValidation type="custom" showInputMessage="1" showErrorMessage="1" errorTitle="Please note:" error="This cell is protected in order to prevent unwanted changes to the calculation." sqref="A17 D30:F30 D16:F16 A16:B16 D7:E7 F44 A47 A56 A7:A14 F75 E61 A77:A81 A31 A42 A58" xr:uid="{00000000-0002-0000-0200-000031000000}">
      <formula1>0</formula1>
    </dataValidation>
    <dataValidation allowBlank="1" showInputMessage="1" showErrorMessage="1" errorTitle="Please note:" error="This cell is protected in order to prevent unwanted changes to the calculation." sqref="A1:B1" xr:uid="{00000000-0002-0000-0200-000032000000}"/>
    <dataValidation type="custom" showInputMessage="1" showErrorMessage="1" errorTitle="Nota bene;" error="Deze cel is beschermd om onbedoelde invloeden door wijzigingen in de berekening te vermijden." sqref="B8:B14" xr:uid="{00000000-0002-0000-0200-000034000000}">
      <formula1>0</formula1>
    </dataValidation>
    <dataValidation type="custom" showInputMessage="1" showErrorMessage="1" errorTitle="Please note:" error="This cell is protected in order to prevent unwanted changes to the calculation." promptTitle="Replacement / Vervanging:" prompt="Replacement / vervanging." sqref="E79" xr:uid="{00000000-0002-0000-0200-000036000000}">
      <formula1>0</formula1>
    </dataValidation>
    <dataValidation type="custom" showInputMessage="1" showErrorMessage="1" errorTitle="Please note:" error="These cells are protected for changes in order to prevent accidental modification." promptTitle="Options / section:" prompt="These lines contain the information to calculate the costs of the relevant option over the entire lifespan, using the cost calculation in the cells to the left of this block. " sqref="G77:G80 G61:G65 G67:G69 G71:G75" xr:uid="{00000000-0002-0000-0200-000037000000}">
      <formula1>0</formula1>
    </dataValidation>
    <dataValidation type="custom" showInputMessage="1" showErrorMessage="1" errorTitle="Please note:" error="This cell is protected in order to prevent unwanted changes to the calculation." promptTitle="Repetition:" prompt="The repetition in the measures which is applicable in the particular case." sqref="E74" xr:uid="{00000000-0002-0000-0200-000038000000}">
      <formula1>0</formula1>
    </dataValidation>
    <dataValidation type="custom" showInputMessage="1" showErrorMessage="1" errorTitle="Please note:" error="This cell is protected in order to prevent unwanted changes to the applied calculation." sqref="F80" xr:uid="{00000000-0002-0000-0200-00003C000000}">
      <formula1>0</formula1>
    </dataValidation>
    <dataValidation type="list" allowBlank="1" showInputMessage="1" showErrorMessage="1" errorTitle="Please note:" error="This cell is protected in order to prevent erroneous input in the applied formulas." promptTitle="Apply the section below (Y/N):" prompt="Mark &quot;No&quot; if the item is NOT applicable._x000a_No marking or &quot;Yes&quot; means the part is included. " sqref="F76 F70 F66 F60" xr:uid="{00000000-0002-0000-0200-00003E000000}">
      <formula1>"Yes,No"</formula1>
    </dataValidation>
    <dataValidation type="list" allowBlank="1" showInputMessage="1" showErrorMessage="1" promptTitle="Sensitivity:" prompt="The extent to which changes in the examined object can be examined._x000a_Three levels are recognized: Low / Medium / High_x000a__x000a_&gt; For check consideration on NDT Effectivity &lt;" sqref="D62" xr:uid="{00000000-0002-0000-0200-00003F000000}">
      <formula1>"Low,Medium,High"</formula1>
    </dataValidation>
    <dataValidation type="list" allowBlank="1" showInputMessage="1" showErrorMessage="1" promptTitle="Accessibility: . . . . . . . . ." prompt="The ease with which the technology can be applied in the relevant place._x000a_Three levels are recognized: Low / Medium / High._x000a_This relates in particular to costs; NOT so much on effectiveness._x000a__x000a_&gt; Used for check consideration on NDT Effectivity &lt; " sqref="D63" xr:uid="{00000000-0002-0000-0200-000040000000}">
      <formula1>"Low,Medium,High"</formula1>
    </dataValidation>
    <dataValidation type="custom" showInputMessage="1" showErrorMessage="1" errorTitle="Please note:" error="This cell is protected in order to prevent unwanted changes to the calculation." promptTitle="Section failconseq (risk) reduct" prompt="Failure consequences (risk) reduction:_x000a__x000a_Here, the [Malfunction and Repair] scenario is reused in order to account for the presence of this risk._x000a_The choice of - whether or not - to apply this can be made on the far right. " sqref="A66" xr:uid="{00000000-0002-0000-0200-000041000000}">
      <formula1>0</formula1>
    </dataValidation>
    <dataValidation type="custom" showInputMessage="1" showErrorMessage="1" errorTitle="Please note:" error="This cell is protected in order to prevent unwanted changes to the calculation." promptTitle="Section applicable NDT Technique" prompt="In this section, the option for a required Non Destructive Investigation Technique can be applied - or switched off. " sqref="A60" xr:uid="{00000000-0002-0000-0200-000042000000}">
      <formula1>0</formula1>
    </dataValidation>
    <dataValidation type="custom" showInputMessage="1" showErrorMessage="1" errorTitle="Please note:" error="This cell is protected in order to prevent unwanted changes to the calculation." promptTitle="Place of totalized costs:" prompt="This number is needed in the scenario calculation ([Scenarios] tab)._x000a_DO NOT CHANGE! " sqref="F58 F47 F42 F31 F17" xr:uid="{00000000-0002-0000-0200-000043000000}">
      <formula1>0</formula1>
    </dataValidation>
    <dataValidation type="custom" showInputMessage="1" showErrorMessage="1" errorTitle="Please note:" error="This cell is protected in order to prevent unwanted changes to the calculation." promptTitle="Term of reference;" prompt="This effect is considered to be a reasonable criterion._x000a_Upgrade is considered effective." sqref="A55" xr:uid="{00000000-0002-0000-0200-000044000000}">
      <formula1>0</formula1>
    </dataValidation>
    <dataValidation type="custom" showInputMessage="1" showErrorMessage="1" errorTitle="Please note:" error="This cell is protected in order to prevent unwanted changes to the calculation." promptTitle="Totalised costs:" prompt="The sum of the costs over the lifetime, as determined in the previous rows." sqref="F56" xr:uid="{00000000-0002-0000-0200-000045000000}">
      <formula1>0</formula1>
    </dataValidation>
  </dataValidations>
  <pageMargins left="0.7" right="0.7" top="0.75" bottom="0.75" header="0.3" footer="0.3"/>
  <pageSetup orientation="portrait" r:id="rId1"/>
  <ignoredErrors>
    <ignoredError sqref="F20 F52:F53 F34" formula="1"/>
  </ignoredErrors>
  <legacyDrawing r:id="rId2"/>
  <extLst>
    <ext xmlns:x14="http://schemas.microsoft.com/office/spreadsheetml/2009/9/main" uri="{CCE6A557-97BC-4b89-ADB6-D9C93CAAB3DF}">
      <x14:dataValidations xmlns:xm="http://schemas.microsoft.com/office/excel/2006/main" disablePrompts="1" xWindow="920" yWindow="520" count="3">
        <x14:dataValidation type="list" errorStyle="warning" allowBlank="1" showInputMessage="1" showErrorMessage="1" errorTitle="Please note:" error="Excessively small or large values may lead to large deviations with respect to actual values." promptTitle="Thickness of insulation layer;" prompt="From the references, layer thicknesses of 25-150 mm are provided for cold insulation. For heat insulation 30-280 mm._x000a_For larger or smaller values, a reference is missing and therefore larger deviations are possible. " xr:uid="{00000000-0002-0000-0200-000046000000}">
          <x14:formula1>
            <xm:f>'Source INSU 2002'!$C$45:$L$45</xm:f>
          </x14:formula1>
          <xm:sqref>D79</xm:sqref>
        </x14:dataValidation>
        <x14:dataValidation type="list" allowBlank="1" showInputMessage="1" showErrorMessage="1" promptTitle="Typical for object of interest:" prompt="The type of object which is of interest which is of specific importance since it determined the type of damage which has to be assessed for the condition/integrity of the installation." xr:uid="{00000000-0002-0000-0200-000047000000}">
          <x14:formula1>
            <xm:f>'NDT Effectiveness'!$B$14:$B$19</xm:f>
          </x14:formula1>
          <xm:sqref>D67:F67</xm:sqref>
        </x14:dataValidation>
        <x14:dataValidation type="list" errorStyle="warning" allowBlank="1" showInputMessage="1" showErrorMessage="1" errorTitle="Please note:" error="Excessively small or large diameters may lead to large deviations with respect to actual values." promptTitle="Line diameter:" prompt="Info is available for pipe diameters from 10-900 mm for heat insulation and from 20-600 mm for cold insulation._x000a_For other values, the closest value is used. " xr:uid="{00000000-0002-0000-0200-000048000000}">
          <x14:formula1>
            <xm:f>'Source INSU 2002'!B46:B64</xm:f>
          </x14:formula1>
          <xm:sqref>D78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outlinePr summaryBelow="0" summaryRight="0"/>
  </sheetPr>
  <dimension ref="A1:J9"/>
  <sheetViews>
    <sheetView workbookViewId="0">
      <selection activeCell="I4" sqref="I4"/>
    </sheetView>
  </sheetViews>
  <sheetFormatPr defaultColWidth="0" defaultRowHeight="15" zeroHeight="1" outlineLevelCol="1"/>
  <cols>
    <col min="1" max="1" width="52.5703125" customWidth="1" collapsed="1"/>
    <col min="2" max="2" width="36.42578125" hidden="1" customWidth="1" outlineLevel="1"/>
    <col min="3" max="3" width="9.140625" customWidth="1"/>
    <col min="4" max="4" width="4.140625" customWidth="1"/>
    <col min="5" max="5" width="45.85546875" customWidth="1" collapsed="1"/>
    <col min="6" max="6" width="40.28515625" hidden="1" customWidth="1" outlineLevel="1"/>
    <col min="7" max="7" width="12.42578125" customWidth="1"/>
    <col min="8" max="8" width="18.7109375" customWidth="1"/>
    <col min="9" max="9" width="13.140625" customWidth="1"/>
    <col min="10" max="10" width="4.85546875" customWidth="1"/>
    <col min="11" max="16384" width="9.140625" hidden="1"/>
  </cols>
  <sheetData>
    <row r="1" spans="1:10" ht="30.75" thickBot="1">
      <c r="A1" s="2" t="s">
        <v>208</v>
      </c>
      <c r="B1" s="2" t="s">
        <v>209</v>
      </c>
      <c r="D1" s="39"/>
      <c r="G1" s="21" t="s">
        <v>210</v>
      </c>
      <c r="H1" s="21" t="s">
        <v>211</v>
      </c>
      <c r="I1" s="21" t="s">
        <v>212</v>
      </c>
      <c r="J1" s="39"/>
    </row>
    <row r="2" spans="1:10" ht="45.75" thickBot="1">
      <c r="A2" s="19" t="s">
        <v>213</v>
      </c>
      <c r="B2" s="19" t="s">
        <v>15</v>
      </c>
      <c r="C2" s="23"/>
      <c r="D2" s="39"/>
      <c r="E2" s="19" t="s">
        <v>17</v>
      </c>
      <c r="F2" s="19" t="s">
        <v>214</v>
      </c>
      <c r="G2" s="22" t="s">
        <v>215</v>
      </c>
      <c r="H2" s="22" t="s">
        <v>216</v>
      </c>
      <c r="I2" s="22" t="s">
        <v>217</v>
      </c>
      <c r="J2" s="39"/>
    </row>
    <row r="3" spans="1:10">
      <c r="A3" s="3" t="s">
        <v>218</v>
      </c>
      <c r="B3" s="3" t="s">
        <v>219</v>
      </c>
      <c r="C3" s="9">
        <v>18000</v>
      </c>
      <c r="D3" s="39"/>
      <c r="E3" s="3" t="s">
        <v>220</v>
      </c>
      <c r="F3" s="3" t="s">
        <v>221</v>
      </c>
      <c r="G3" s="42">
        <f>C3*(1+C7)</f>
        <v>22500</v>
      </c>
      <c r="H3" s="42">
        <f>C3*(1+C7)*TRUNC((C8)/C5) / C8</f>
        <v>2250</v>
      </c>
      <c r="I3" s="42">
        <f>H3*C8</f>
        <v>90000</v>
      </c>
      <c r="J3" s="39"/>
    </row>
    <row r="4" spans="1:10">
      <c r="A4" s="3" t="s">
        <v>222</v>
      </c>
      <c r="B4" s="3" t="s">
        <v>223</v>
      </c>
      <c r="C4" s="9">
        <v>3400</v>
      </c>
      <c r="D4" s="39"/>
      <c r="E4" s="3" t="s">
        <v>224</v>
      </c>
      <c r="F4" s="3" t="s">
        <v>225</v>
      </c>
      <c r="G4" s="42">
        <f>C4 + (C3*C7)</f>
        <v>7900</v>
      </c>
      <c r="H4" s="42">
        <f>(C4 + (C3*C7) )* TRUNC((C8)/C6) / C8</f>
        <v>1580</v>
      </c>
      <c r="I4" s="42">
        <f>H4*C8</f>
        <v>63200</v>
      </c>
      <c r="J4" s="39"/>
    </row>
    <row r="5" spans="1:10">
      <c r="A5" s="3" t="s">
        <v>226</v>
      </c>
      <c r="B5" s="3" t="s">
        <v>227</v>
      </c>
      <c r="C5" s="43">
        <v>10</v>
      </c>
      <c r="D5" s="39"/>
      <c r="E5" s="39"/>
      <c r="F5" s="39"/>
      <c r="G5" s="39"/>
      <c r="H5" s="39"/>
      <c r="I5" s="39"/>
      <c r="J5" s="39"/>
    </row>
    <row r="6" spans="1:10">
      <c r="A6" s="3" t="s">
        <v>228</v>
      </c>
      <c r="B6" s="3" t="s">
        <v>229</v>
      </c>
      <c r="C6" s="43">
        <v>5</v>
      </c>
      <c r="D6" s="39"/>
      <c r="E6" s="394" t="s">
        <v>230</v>
      </c>
      <c r="F6" s="395"/>
      <c r="G6" s="395"/>
      <c r="H6" s="395"/>
      <c r="I6" s="395"/>
      <c r="J6" s="39"/>
    </row>
    <row r="7" spans="1:10" ht="15" customHeight="1">
      <c r="A7" s="3" t="s">
        <v>231</v>
      </c>
      <c r="B7" s="3" t="s">
        <v>232</v>
      </c>
      <c r="C7" s="44">
        <v>0.25</v>
      </c>
      <c r="D7" s="39"/>
      <c r="E7" s="396" t="s">
        <v>233</v>
      </c>
      <c r="F7" s="397"/>
      <c r="G7" s="397"/>
      <c r="H7" s="397"/>
      <c r="I7" s="397"/>
      <c r="J7" s="39"/>
    </row>
    <row r="8" spans="1:10">
      <c r="A8" s="3" t="s">
        <v>234</v>
      </c>
      <c r="B8" s="3" t="s">
        <v>235</v>
      </c>
      <c r="C8" s="43">
        <v>40</v>
      </c>
      <c r="D8" s="39"/>
      <c r="E8" s="398" t="s">
        <v>236</v>
      </c>
      <c r="F8" s="399"/>
      <c r="G8" s="399"/>
      <c r="H8" s="399"/>
      <c r="I8" s="399"/>
      <c r="J8" s="39"/>
    </row>
    <row r="9" spans="1:10">
      <c r="A9" s="39"/>
      <c r="B9" s="39"/>
      <c r="C9" s="39"/>
      <c r="D9" s="39"/>
      <c r="E9" s="39"/>
      <c r="F9" s="39"/>
      <c r="G9" s="39"/>
      <c r="H9" s="39"/>
      <c r="I9" s="39"/>
      <c r="J9" s="39"/>
    </row>
  </sheetData>
  <mergeCells count="3">
    <mergeCell ref="E6:I6"/>
    <mergeCell ref="E7:I7"/>
    <mergeCell ref="E8:I8"/>
  </mergeCells>
  <dataValidations count="3">
    <dataValidation allowBlank="1" showInputMessage="1" showErrorMessage="1" promptTitle="Once:" prompt="Eenmalig:" sqref="G2" xr:uid="{00000000-0002-0000-0300-000000000000}"/>
    <dataValidation allowBlank="1" showInputMessage="1" showErrorMessage="1" promptTitle="Per year:" prompt="Per year (finished prior to last interval)_x000a_Per jaar (afgerond voor de laatste termijn)." sqref="H2" xr:uid="{00000000-0002-0000-0300-000001000000}"/>
    <dataValidation allowBlank="1" showInputMessage="1" showErrorMessage="1" promptTitle="Over the lifetme:" prompt="The costs-estimate refers to the costs over the total lifetime of the asset." sqref="I2" xr:uid="{00000000-0002-0000-0300-000002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8"/>
  <sheetViews>
    <sheetView workbookViewId="0">
      <selection activeCell="C5" sqref="C5"/>
    </sheetView>
  </sheetViews>
  <sheetFormatPr defaultColWidth="0" defaultRowHeight="15" zeroHeight="1"/>
  <cols>
    <col min="1" max="1" width="2.5703125" customWidth="1"/>
    <col min="2" max="2" width="8.28515625" customWidth="1"/>
    <col min="3" max="3" width="40.42578125" customWidth="1"/>
    <col min="4" max="4" width="13.5703125" customWidth="1"/>
    <col min="5" max="5" width="45.42578125" customWidth="1"/>
    <col min="6" max="6" width="89.28515625" customWidth="1"/>
    <col min="7" max="16384" width="9.140625" hidden="1"/>
  </cols>
  <sheetData>
    <row r="1" spans="2:6"/>
    <row r="2" spans="2:6" ht="15.75">
      <c r="B2" s="400" t="s">
        <v>237</v>
      </c>
      <c r="C2" s="400"/>
      <c r="D2" s="400"/>
      <c r="E2" s="400"/>
      <c r="F2" s="400"/>
    </row>
    <row r="3" spans="2:6" ht="15.75" thickBot="1">
      <c r="B3" s="28" t="s">
        <v>238</v>
      </c>
      <c r="C3" s="28" t="s">
        <v>239</v>
      </c>
      <c r="D3" s="28" t="s">
        <v>240</v>
      </c>
      <c r="E3" s="28" t="s">
        <v>241</v>
      </c>
      <c r="F3" s="28" t="s">
        <v>242</v>
      </c>
    </row>
    <row r="4" spans="2:6" ht="31.5">
      <c r="B4" s="45">
        <v>1</v>
      </c>
      <c r="C4" s="20" t="s">
        <v>243</v>
      </c>
      <c r="D4" s="46" t="s">
        <v>244</v>
      </c>
      <c r="E4" s="20" t="s">
        <v>245</v>
      </c>
      <c r="F4" s="47" t="s">
        <v>246</v>
      </c>
    </row>
    <row r="5" spans="2:6" ht="45">
      <c r="B5" s="45">
        <v>2</v>
      </c>
      <c r="C5" s="20" t="s">
        <v>247</v>
      </c>
      <c r="D5" s="46" t="s">
        <v>248</v>
      </c>
      <c r="E5" s="20" t="s">
        <v>249</v>
      </c>
      <c r="F5" s="47" t="s">
        <v>250</v>
      </c>
    </row>
    <row r="6" spans="2:6">
      <c r="B6" s="45">
        <v>3</v>
      </c>
      <c r="C6" s="20"/>
      <c r="D6" s="46"/>
      <c r="E6" s="20"/>
      <c r="F6" s="47"/>
    </row>
    <row r="7" spans="2:6"/>
    <row r="8" spans="2:6"/>
  </sheetData>
  <mergeCells count="1">
    <mergeCell ref="B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2"/>
  <sheetViews>
    <sheetView topLeftCell="A22" zoomScale="85" zoomScaleNormal="85" workbookViewId="0">
      <selection activeCell="D45" sqref="D45"/>
    </sheetView>
  </sheetViews>
  <sheetFormatPr defaultColWidth="0" defaultRowHeight="15" zeroHeight="1" outlineLevelCol="1"/>
  <cols>
    <col min="1" max="1" width="4.42578125" style="202" customWidth="1"/>
    <col min="2" max="2" width="61.28515625" style="202" customWidth="1"/>
    <col min="3" max="13" width="4.42578125" style="202" customWidth="1"/>
    <col min="14" max="14" width="60.140625" style="202" customWidth="1"/>
    <col min="15" max="15" width="15.85546875" style="202" customWidth="1"/>
    <col min="16" max="16" width="44.140625" style="202" customWidth="1" outlineLevel="1"/>
    <col min="17" max="17" width="5.140625" style="202" customWidth="1"/>
    <col min="18" max="16384" width="9.140625" style="202" hidden="1"/>
  </cols>
  <sheetData>
    <row r="1" spans="2:16">
      <c r="C1" s="401" t="s">
        <v>251</v>
      </c>
      <c r="D1" s="401"/>
      <c r="E1" s="401"/>
      <c r="F1" s="401"/>
      <c r="G1" s="401"/>
      <c r="H1" s="401"/>
      <c r="I1" s="401"/>
      <c r="J1" s="401"/>
      <c r="K1" s="401"/>
      <c r="L1" s="401"/>
      <c r="M1" s="401"/>
      <c r="N1" s="236" t="s">
        <v>252</v>
      </c>
      <c r="O1" s="214" t="s">
        <v>253</v>
      </c>
    </row>
    <row r="2" spans="2:16">
      <c r="B2" s="214" t="s">
        <v>254</v>
      </c>
      <c r="C2" s="272" t="s">
        <v>159</v>
      </c>
      <c r="D2" s="233"/>
      <c r="E2" s="233"/>
      <c r="F2" s="233"/>
      <c r="G2" s="233"/>
      <c r="H2" s="233"/>
      <c r="I2" s="233"/>
      <c r="J2" s="233"/>
      <c r="K2" s="232"/>
      <c r="O2" s="270">
        <f>640/2</f>
        <v>320</v>
      </c>
      <c r="P2" s="271" t="str">
        <f>C2</f>
        <v>1) Visual inspection with unpacking.</v>
      </c>
    </row>
    <row r="3" spans="2:16">
      <c r="B3" s="441" t="s">
        <v>255</v>
      </c>
      <c r="C3" s="215"/>
      <c r="D3" s="442" t="s">
        <v>256</v>
      </c>
      <c r="E3" s="233"/>
      <c r="F3" s="233"/>
      <c r="G3" s="233"/>
      <c r="H3" s="233"/>
      <c r="I3" s="233"/>
      <c r="J3" s="233"/>
      <c r="K3" s="233"/>
      <c r="L3" s="232"/>
      <c r="O3" s="270">
        <f>600/2</f>
        <v>300</v>
      </c>
      <c r="P3" s="271" t="str">
        <f>D3</f>
        <v>2) On-stream RT (Film)</v>
      </c>
    </row>
    <row r="4" spans="2:16">
      <c r="B4" s="402"/>
      <c r="C4" s="215"/>
      <c r="D4" s="215"/>
      <c r="E4" s="442" t="s">
        <v>257</v>
      </c>
      <c r="F4" s="233"/>
      <c r="G4" s="233"/>
      <c r="H4" s="233"/>
      <c r="I4" s="233"/>
      <c r="J4" s="233"/>
      <c r="K4" s="233"/>
      <c r="L4" s="233"/>
      <c r="M4" s="232"/>
      <c r="O4" s="270">
        <f>400/2</f>
        <v>200</v>
      </c>
      <c r="P4" s="271" t="str">
        <f>E4</f>
        <v>3) On streamRT (digital)</v>
      </c>
    </row>
    <row r="5" spans="2:16">
      <c r="B5" s="402"/>
      <c r="C5" s="215"/>
      <c r="D5" s="215"/>
      <c r="E5" s="215"/>
      <c r="F5" s="443" t="s">
        <v>258</v>
      </c>
      <c r="G5" s="235"/>
      <c r="H5" s="235"/>
      <c r="I5" s="235"/>
      <c r="J5" s="235"/>
      <c r="K5" s="235"/>
      <c r="L5" s="235"/>
      <c r="M5" s="234"/>
      <c r="O5" s="270">
        <f>150/2</f>
        <v>75</v>
      </c>
      <c r="P5" s="271" t="str">
        <f>F5</f>
        <v>4) Profile radiography</v>
      </c>
    </row>
    <row r="6" spans="2:16">
      <c r="B6" s="402"/>
      <c r="C6" s="215"/>
      <c r="D6" s="215"/>
      <c r="E6" s="215"/>
      <c r="F6" s="216"/>
      <c r="G6" s="442" t="s">
        <v>259</v>
      </c>
      <c r="H6" s="233"/>
      <c r="I6" s="233"/>
      <c r="J6" s="233"/>
      <c r="K6" s="233"/>
      <c r="L6" s="233"/>
      <c r="M6" s="232"/>
      <c r="O6" s="270">
        <f>2400/2</f>
        <v>1200</v>
      </c>
      <c r="P6" s="271" t="str">
        <f>G6</f>
        <v>5) Guided Waves / Long Range UT</v>
      </c>
    </row>
    <row r="7" spans="2:16">
      <c r="B7" s="402"/>
      <c r="C7" s="215"/>
      <c r="D7" s="215"/>
      <c r="E7" s="215"/>
      <c r="F7" s="216"/>
      <c r="G7" s="215"/>
      <c r="H7" s="442" t="s">
        <v>260</v>
      </c>
      <c r="I7" s="233"/>
      <c r="J7" s="233"/>
      <c r="K7" s="233"/>
      <c r="L7" s="233"/>
      <c r="M7" s="232"/>
      <c r="O7" s="270">
        <f>4000/2</f>
        <v>2000</v>
      </c>
      <c r="P7" s="271" t="str">
        <f>H7</f>
        <v>6) PEC / PEC Array</v>
      </c>
    </row>
    <row r="8" spans="2:16">
      <c r="B8" s="402"/>
      <c r="C8" s="215"/>
      <c r="D8" s="215"/>
      <c r="E8" s="215"/>
      <c r="F8" s="216"/>
      <c r="G8" s="215"/>
      <c r="H8" s="215"/>
      <c r="I8" s="443" t="s">
        <v>261</v>
      </c>
      <c r="J8" s="235"/>
      <c r="K8" s="235"/>
      <c r="L8" s="235"/>
      <c r="M8" s="234"/>
      <c r="O8" s="270">
        <f>12000/2</f>
        <v>6000</v>
      </c>
      <c r="P8" s="271" t="str">
        <f>I8</f>
        <v>7) In-line inspection (intelligent pigging)</v>
      </c>
    </row>
    <row r="9" spans="2:16">
      <c r="B9" s="402"/>
      <c r="C9" s="215"/>
      <c r="D9" s="215"/>
      <c r="E9" s="215"/>
      <c r="F9" s="216"/>
      <c r="G9" s="215"/>
      <c r="H9" s="215"/>
      <c r="I9" s="216"/>
      <c r="J9" s="442" t="s">
        <v>262</v>
      </c>
      <c r="K9" s="233"/>
      <c r="L9" s="233"/>
      <c r="M9" s="232"/>
      <c r="O9" s="270">
        <f>625/2</f>
        <v>312.5</v>
      </c>
      <c r="P9" s="271" t="str">
        <f>J9</f>
        <v>8) Ultrasonic wall thickness measurement</v>
      </c>
    </row>
    <row r="10" spans="2:16">
      <c r="B10" s="402"/>
      <c r="C10" s="215"/>
      <c r="D10" s="215"/>
      <c r="E10" s="215"/>
      <c r="F10" s="216"/>
      <c r="G10" s="215"/>
      <c r="H10" s="215"/>
      <c r="I10" s="216"/>
      <c r="J10" s="231"/>
      <c r="K10" s="442" t="s">
        <v>263</v>
      </c>
      <c r="L10" s="233"/>
      <c r="M10" s="232"/>
      <c r="O10" s="270">
        <f>1133/2</f>
        <v>566.5</v>
      </c>
      <c r="P10" s="271" t="str">
        <f>K10</f>
        <v>9) UT C scan mapping</v>
      </c>
    </row>
    <row r="11" spans="2:16">
      <c r="B11" s="402"/>
      <c r="C11" s="215"/>
      <c r="D11" s="215"/>
      <c r="E11" s="215"/>
      <c r="F11" s="216"/>
      <c r="G11" s="215"/>
      <c r="H11" s="215"/>
      <c r="I11" s="216"/>
      <c r="J11" s="231"/>
      <c r="K11" s="215"/>
      <c r="L11" s="442" t="s">
        <v>264</v>
      </c>
      <c r="M11" s="232"/>
      <c r="O11" s="270">
        <f>64/2</f>
        <v>32</v>
      </c>
      <c r="P11" s="271" t="str">
        <f>L11</f>
        <v>10) Thermography</v>
      </c>
    </row>
    <row r="12" spans="2:16">
      <c r="B12" s="402"/>
      <c r="C12" s="215"/>
      <c r="D12" s="215"/>
      <c r="E12" s="215"/>
      <c r="F12" s="216"/>
      <c r="G12" s="215"/>
      <c r="H12" s="215"/>
      <c r="I12" s="216"/>
      <c r="J12" s="231"/>
      <c r="K12" s="215"/>
      <c r="L12" s="215"/>
      <c r="M12" s="265" t="s">
        <v>265</v>
      </c>
      <c r="O12" s="270">
        <f>1024/2</f>
        <v>512</v>
      </c>
      <c r="P12" s="271" t="str">
        <f>M12</f>
        <v>11) Neuron Backscatter (for moisture detection)</v>
      </c>
    </row>
    <row r="13" spans="2:16" ht="15.75" thickBot="1">
      <c r="B13" s="230" t="s">
        <v>266</v>
      </c>
      <c r="C13" s="228"/>
      <c r="D13" s="228"/>
      <c r="E13" s="228"/>
      <c r="F13" s="229"/>
      <c r="G13" s="228"/>
      <c r="H13" s="228"/>
      <c r="I13" s="229"/>
      <c r="J13" s="228"/>
      <c r="K13" s="228"/>
      <c r="L13" s="228"/>
      <c r="M13" s="228"/>
      <c r="N13" s="227" t="s">
        <v>267</v>
      </c>
      <c r="O13" s="444" t="s">
        <v>268</v>
      </c>
      <c r="P13" s="226"/>
    </row>
    <row r="14" spans="2:16">
      <c r="B14" s="224" t="s">
        <v>269</v>
      </c>
      <c r="C14" s="273" t="s">
        <v>270</v>
      </c>
      <c r="D14" s="225" t="s">
        <v>271</v>
      </c>
      <c r="E14" s="445" t="s">
        <v>271</v>
      </c>
      <c r="F14" s="446" t="s">
        <v>271</v>
      </c>
      <c r="G14" s="445" t="s">
        <v>272</v>
      </c>
      <c r="H14" s="445" t="s">
        <v>272</v>
      </c>
      <c r="I14" s="446" t="s">
        <v>271</v>
      </c>
      <c r="J14" s="445" t="s">
        <v>270</v>
      </c>
      <c r="K14" s="225" t="s">
        <v>271</v>
      </c>
      <c r="L14" s="225" t="s">
        <v>273</v>
      </c>
      <c r="M14" s="266" t="s">
        <v>273</v>
      </c>
      <c r="N14" s="212"/>
    </row>
    <row r="15" spans="2:16">
      <c r="B15" s="224" t="s">
        <v>174</v>
      </c>
      <c r="C15" s="274" t="s">
        <v>270</v>
      </c>
      <c r="D15" s="222" t="s">
        <v>270</v>
      </c>
      <c r="E15" s="447" t="s">
        <v>270</v>
      </c>
      <c r="F15" s="448" t="s">
        <v>271</v>
      </c>
      <c r="G15" s="447" t="s">
        <v>272</v>
      </c>
      <c r="H15" s="447" t="s">
        <v>272</v>
      </c>
      <c r="I15" s="448" t="s">
        <v>271</v>
      </c>
      <c r="J15" s="447" t="s">
        <v>270</v>
      </c>
      <c r="K15" s="222" t="s">
        <v>270</v>
      </c>
      <c r="L15" s="222" t="s">
        <v>273</v>
      </c>
      <c r="M15" s="267" t="s">
        <v>273</v>
      </c>
      <c r="N15" s="212"/>
    </row>
    <row r="16" spans="2:16">
      <c r="B16" s="224" t="s">
        <v>274</v>
      </c>
      <c r="C16" s="274" t="s">
        <v>270</v>
      </c>
      <c r="D16" s="222" t="s">
        <v>270</v>
      </c>
      <c r="E16" s="447" t="s">
        <v>270</v>
      </c>
      <c r="F16" s="448" t="s">
        <v>271</v>
      </c>
      <c r="G16" s="447" t="s">
        <v>273</v>
      </c>
      <c r="H16" s="447" t="s">
        <v>271</v>
      </c>
      <c r="I16" s="448" t="s">
        <v>275</v>
      </c>
      <c r="J16" s="447" t="s">
        <v>275</v>
      </c>
      <c r="K16" s="222" t="s">
        <v>270</v>
      </c>
      <c r="L16" s="222" t="s">
        <v>275</v>
      </c>
      <c r="M16" s="267" t="s">
        <v>273</v>
      </c>
      <c r="N16" s="212"/>
    </row>
    <row r="17" spans="2:17">
      <c r="B17" s="224" t="s">
        <v>276</v>
      </c>
      <c r="C17" s="274" t="s">
        <v>273</v>
      </c>
      <c r="D17" s="222" t="s">
        <v>271</v>
      </c>
      <c r="E17" s="447" t="s">
        <v>270</v>
      </c>
      <c r="F17" s="448" t="s">
        <v>272</v>
      </c>
      <c r="G17" s="447" t="s">
        <v>272</v>
      </c>
      <c r="H17" s="447" t="s">
        <v>275</v>
      </c>
      <c r="I17" s="448" t="s">
        <v>270</v>
      </c>
      <c r="J17" s="447" t="s">
        <v>275</v>
      </c>
      <c r="K17" s="222" t="s">
        <v>275</v>
      </c>
      <c r="L17" s="222" t="s">
        <v>273</v>
      </c>
      <c r="M17" s="267" t="s">
        <v>275</v>
      </c>
      <c r="N17" s="212"/>
    </row>
    <row r="18" spans="2:17" ht="15.75">
      <c r="B18" s="224" t="s">
        <v>277</v>
      </c>
      <c r="C18" s="274" t="s">
        <v>270</v>
      </c>
      <c r="D18" s="222" t="s">
        <v>271</v>
      </c>
      <c r="E18" s="447" t="s">
        <v>271</v>
      </c>
      <c r="F18" s="448" t="s">
        <v>271</v>
      </c>
      <c r="G18" s="447" t="s">
        <v>270</v>
      </c>
      <c r="H18" s="447" t="s">
        <v>271</v>
      </c>
      <c r="I18" s="448" t="s">
        <v>270</v>
      </c>
      <c r="J18" s="447" t="s">
        <v>270</v>
      </c>
      <c r="K18" s="222" t="s">
        <v>270</v>
      </c>
      <c r="L18" s="222" t="s">
        <v>272</v>
      </c>
      <c r="M18" s="267" t="s">
        <v>273</v>
      </c>
      <c r="N18" s="294" t="s">
        <v>278</v>
      </c>
    </row>
    <row r="19" spans="2:17" ht="15.75" thickBot="1">
      <c r="B19" s="223" t="s">
        <v>279</v>
      </c>
      <c r="C19" s="274" t="s">
        <v>270</v>
      </c>
      <c r="D19" s="222" t="s">
        <v>270</v>
      </c>
      <c r="E19" s="447" t="s">
        <v>270</v>
      </c>
      <c r="F19" s="448" t="s">
        <v>270</v>
      </c>
      <c r="G19" s="447" t="s">
        <v>270</v>
      </c>
      <c r="H19" s="447" t="s">
        <v>271</v>
      </c>
      <c r="I19" s="448" t="s">
        <v>270</v>
      </c>
      <c r="J19" s="447" t="s">
        <v>270</v>
      </c>
      <c r="K19" s="222" t="s">
        <v>270</v>
      </c>
      <c r="L19" s="222" t="s">
        <v>272</v>
      </c>
      <c r="M19" s="267" t="s">
        <v>273</v>
      </c>
      <c r="N19" s="212"/>
    </row>
    <row r="20" spans="2:17" ht="15.75">
      <c r="B20" s="310" t="s">
        <v>280</v>
      </c>
      <c r="C20" s="403" t="s">
        <v>281</v>
      </c>
      <c r="D20" s="404"/>
      <c r="E20" s="404"/>
      <c r="F20" s="404"/>
      <c r="G20" s="404"/>
      <c r="H20" s="404"/>
      <c r="I20" s="404"/>
      <c r="J20" s="404"/>
      <c r="K20" s="404"/>
      <c r="L20" s="404"/>
      <c r="M20" s="405"/>
      <c r="N20" s="221"/>
      <c r="P20" s="312"/>
      <c r="Q20" s="312"/>
    </row>
    <row r="21" spans="2:17" ht="29.25" customHeight="1">
      <c r="B21" s="295" t="s">
        <v>282</v>
      </c>
      <c r="C21" s="219"/>
      <c r="D21" s="219"/>
      <c r="E21" s="219"/>
      <c r="F21" s="220"/>
      <c r="G21" s="219"/>
      <c r="H21" s="219"/>
      <c r="I21" s="220"/>
      <c r="J21" s="219"/>
      <c r="K21" s="219"/>
      <c r="L21" s="219"/>
      <c r="M21" s="409" t="s">
        <v>283</v>
      </c>
      <c r="N21" s="410"/>
      <c r="P21" s="312"/>
      <c r="Q21" s="312"/>
    </row>
    <row r="22" spans="2:17" ht="45" customHeight="1">
      <c r="B22" s="218" t="s">
        <v>284</v>
      </c>
      <c r="C22" s="215"/>
      <c r="D22" s="215"/>
      <c r="E22" s="215"/>
      <c r="F22" s="216"/>
      <c r="G22" s="215"/>
      <c r="H22" s="215"/>
      <c r="I22" s="216"/>
      <c r="J22" s="215"/>
      <c r="K22" s="215"/>
      <c r="L22" s="406" t="s">
        <v>285</v>
      </c>
      <c r="M22" s="407"/>
      <c r="N22" s="407"/>
      <c r="P22" s="312"/>
      <c r="Q22" s="312"/>
    </row>
    <row r="23" spans="2:17">
      <c r="B23" s="218" t="s">
        <v>286</v>
      </c>
      <c r="C23" s="215"/>
      <c r="D23" s="215"/>
      <c r="E23" s="215"/>
      <c r="F23" s="216"/>
      <c r="G23" s="215"/>
      <c r="H23" s="215"/>
      <c r="I23" s="216"/>
      <c r="J23" s="215"/>
      <c r="K23" s="408"/>
      <c r="L23" s="407"/>
      <c r="M23" s="407"/>
      <c r="N23" s="407"/>
      <c r="P23" s="312"/>
      <c r="Q23" s="312"/>
    </row>
    <row r="24" spans="2:17" ht="45">
      <c r="B24" s="218" t="s">
        <v>287</v>
      </c>
      <c r="C24" s="215"/>
      <c r="D24" s="215"/>
      <c r="E24" s="215"/>
      <c r="F24" s="216"/>
      <c r="G24" s="215"/>
      <c r="H24" s="215"/>
      <c r="I24" s="216"/>
      <c r="J24" s="408"/>
      <c r="K24" s="407"/>
      <c r="L24" s="407"/>
      <c r="M24" s="407"/>
      <c r="N24" s="407"/>
      <c r="P24" s="312"/>
      <c r="Q24" s="312"/>
    </row>
    <row r="25" spans="2:17">
      <c r="B25" s="217" t="s">
        <v>288</v>
      </c>
      <c r="C25" s="215"/>
      <c r="D25" s="215"/>
      <c r="E25" s="215"/>
      <c r="F25" s="216"/>
      <c r="G25" s="215"/>
      <c r="H25" s="215"/>
      <c r="I25" s="419"/>
      <c r="J25" s="420"/>
      <c r="K25" s="420"/>
      <c r="L25" s="420"/>
      <c r="M25" s="420"/>
      <c r="N25" s="420"/>
      <c r="P25" s="312"/>
      <c r="Q25" s="312"/>
    </row>
    <row r="26" spans="2:17" ht="15" customHeight="1">
      <c r="B26" s="423" t="s">
        <v>289</v>
      </c>
      <c r="C26" s="215"/>
      <c r="D26" s="215"/>
      <c r="E26" s="215"/>
      <c r="F26" s="216"/>
      <c r="G26" s="215"/>
      <c r="H26" s="408"/>
      <c r="I26" s="407"/>
      <c r="J26" s="407"/>
      <c r="K26" s="407"/>
      <c r="L26" s="407"/>
      <c r="M26" s="407"/>
      <c r="N26" s="407"/>
      <c r="P26" s="312"/>
      <c r="Q26" s="312"/>
    </row>
    <row r="27" spans="2:17">
      <c r="B27" s="402"/>
      <c r="C27" s="215"/>
      <c r="D27" s="215"/>
      <c r="E27" s="215"/>
      <c r="F27" s="216"/>
      <c r="G27" s="408"/>
      <c r="H27" s="407"/>
      <c r="I27" s="407"/>
      <c r="J27" s="407"/>
      <c r="K27" s="407"/>
      <c r="L27" s="407"/>
      <c r="M27" s="407"/>
      <c r="N27" s="407"/>
      <c r="P27" s="312"/>
      <c r="Q27" s="312"/>
    </row>
    <row r="28" spans="2:17" ht="15" customHeight="1">
      <c r="B28" s="402"/>
      <c r="C28" s="215"/>
      <c r="D28" s="215"/>
      <c r="E28" s="215"/>
      <c r="F28" s="421" t="s">
        <v>290</v>
      </c>
      <c r="G28" s="420"/>
      <c r="H28" s="420"/>
      <c r="I28" s="420"/>
      <c r="J28" s="420"/>
      <c r="K28" s="420"/>
      <c r="L28" s="420"/>
      <c r="M28" s="420"/>
      <c r="N28" s="420"/>
      <c r="P28" s="312"/>
      <c r="Q28" s="312"/>
    </row>
    <row r="29" spans="2:17" ht="15" customHeight="1">
      <c r="B29" s="402"/>
      <c r="C29" s="215"/>
      <c r="D29" s="215"/>
      <c r="E29" s="406" t="s">
        <v>291</v>
      </c>
      <c r="F29" s="407"/>
      <c r="G29" s="407"/>
      <c r="H29" s="407"/>
      <c r="I29" s="407"/>
      <c r="J29" s="407"/>
      <c r="K29" s="407"/>
      <c r="L29" s="407"/>
      <c r="M29" s="407"/>
      <c r="N29" s="407"/>
      <c r="P29" s="312"/>
      <c r="Q29" s="312"/>
    </row>
    <row r="30" spans="2:17" ht="15" customHeight="1">
      <c r="B30" s="402"/>
      <c r="C30" s="215"/>
      <c r="D30" s="406" t="s">
        <v>292</v>
      </c>
      <c r="E30" s="407"/>
      <c r="F30" s="407"/>
      <c r="G30" s="407"/>
      <c r="H30" s="407"/>
      <c r="I30" s="407"/>
      <c r="J30" s="407"/>
      <c r="K30" s="407"/>
      <c r="L30" s="407"/>
      <c r="M30" s="407"/>
      <c r="N30" s="407"/>
      <c r="P30" s="312"/>
      <c r="Q30" s="312"/>
    </row>
    <row r="31" spans="2:17" ht="15" customHeight="1">
      <c r="B31" s="402"/>
      <c r="C31" s="406" t="s">
        <v>293</v>
      </c>
      <c r="D31" s="407"/>
      <c r="E31" s="407"/>
      <c r="F31" s="407"/>
      <c r="G31" s="407"/>
      <c r="H31" s="407"/>
      <c r="I31" s="407"/>
      <c r="J31" s="407"/>
      <c r="K31" s="407"/>
      <c r="L31" s="407"/>
      <c r="M31" s="407"/>
      <c r="N31" s="407"/>
      <c r="P31" s="312"/>
      <c r="Q31" s="312"/>
    </row>
    <row r="32" spans="2:17">
      <c r="P32" s="312"/>
      <c r="Q32" s="312"/>
    </row>
    <row r="33" spans="1:17">
      <c r="P33" s="312"/>
      <c r="Q33" s="312"/>
    </row>
    <row r="34" spans="1:17">
      <c r="B34" s="214" t="s">
        <v>294</v>
      </c>
      <c r="P34" s="312"/>
      <c r="Q34" s="312"/>
    </row>
    <row r="35" spans="1:17" ht="30.75" customHeight="1">
      <c r="B35" s="424" t="s">
        <v>295</v>
      </c>
      <c r="C35" s="424"/>
      <c r="D35" s="424"/>
      <c r="E35" s="424"/>
      <c r="F35" s="424"/>
      <c r="G35" s="424"/>
      <c r="H35" s="424"/>
      <c r="I35" s="424"/>
      <c r="J35" s="424"/>
      <c r="K35" s="424"/>
      <c r="L35" s="424"/>
      <c r="M35" s="424"/>
      <c r="N35" s="424"/>
      <c r="P35" s="312"/>
      <c r="Q35" s="312"/>
    </row>
    <row r="36" spans="1:17" ht="15.75">
      <c r="B36" s="296" t="s">
        <v>296</v>
      </c>
      <c r="P36" s="312"/>
      <c r="Q36" s="312"/>
    </row>
    <row r="37" spans="1:17">
      <c r="B37" s="213" t="s">
        <v>266</v>
      </c>
      <c r="C37" s="413" t="s">
        <v>269</v>
      </c>
      <c r="D37" s="413"/>
      <c r="E37" s="413"/>
      <c r="F37" s="413"/>
      <c r="G37" s="413"/>
      <c r="H37" s="413"/>
      <c r="I37" s="413"/>
      <c r="J37" s="413"/>
      <c r="K37" s="413"/>
      <c r="L37" s="413"/>
      <c r="M37" s="413"/>
      <c r="P37" s="312"/>
      <c r="Q37" s="312"/>
    </row>
    <row r="38" spans="1:17" ht="15.75">
      <c r="B38" s="297" t="s">
        <v>297</v>
      </c>
      <c r="C38" s="413" t="s">
        <v>159</v>
      </c>
      <c r="D38" s="413"/>
      <c r="E38" s="413"/>
      <c r="F38" s="413"/>
      <c r="G38" s="413"/>
      <c r="H38" s="413"/>
      <c r="I38" s="413"/>
      <c r="J38" s="413"/>
      <c r="K38" s="413"/>
      <c r="L38" s="413"/>
      <c r="M38" s="413"/>
      <c r="P38" s="312"/>
      <c r="Q38" s="312"/>
    </row>
    <row r="39" spans="1:17" ht="15.75">
      <c r="B39" s="297" t="s">
        <v>298</v>
      </c>
      <c r="C39" s="422">
        <f>IFERROR(1-INDEX(NDTEff,FIND(INDEX(NDTEffRatings,MATCH(C37,Typicals,0),MATCH(C38,NDT_Technieken,0)),"ABCDE"),2),"?")</f>
        <v>1.0000000000000009E-2</v>
      </c>
      <c r="D39" s="422"/>
      <c r="E39" s="422"/>
      <c r="F39" s="422"/>
      <c r="G39" s="422"/>
      <c r="H39" s="422"/>
      <c r="I39" s="422"/>
      <c r="J39" s="422"/>
      <c r="K39" s="422"/>
      <c r="L39" s="422"/>
      <c r="M39" s="422"/>
      <c r="N39" s="294" t="s">
        <v>299</v>
      </c>
      <c r="O39" s="449"/>
      <c r="P39" s="312"/>
      <c r="Q39" s="312"/>
    </row>
    <row r="40" spans="1:17" ht="15.75">
      <c r="B40" s="298" t="s">
        <v>300</v>
      </c>
      <c r="C40" s="414" t="str">
        <f>'Life cycle costing'!D62</f>
        <v>Medium</v>
      </c>
      <c r="D40" s="415"/>
      <c r="E40" s="416"/>
      <c r="F40" s="417" t="s">
        <v>301</v>
      </c>
      <c r="G40" s="418"/>
      <c r="H40" s="418"/>
      <c r="I40" s="418"/>
      <c r="J40" s="418"/>
      <c r="K40" s="418"/>
      <c r="L40" s="418"/>
      <c r="M40" s="418"/>
      <c r="N40" s="418"/>
      <c r="P40" s="312"/>
      <c r="Q40" s="312"/>
    </row>
    <row r="41" spans="1:17" ht="15.75">
      <c r="B41" s="298" t="s">
        <v>302</v>
      </c>
      <c r="C41" s="414" t="str">
        <f>'Life cycle costing'!D63</f>
        <v>Medium</v>
      </c>
      <c r="D41" s="415"/>
      <c r="E41" s="416"/>
      <c r="F41" s="417" t="s">
        <v>303</v>
      </c>
      <c r="G41" s="418"/>
      <c r="H41" s="418"/>
      <c r="I41" s="418"/>
      <c r="J41" s="418"/>
      <c r="K41" s="418"/>
      <c r="L41" s="418"/>
      <c r="M41" s="418"/>
      <c r="N41" s="418"/>
      <c r="P41" s="312"/>
      <c r="Q41" s="312"/>
    </row>
    <row r="42" spans="1:17" ht="15.75">
      <c r="B42" s="297" t="s">
        <v>304</v>
      </c>
      <c r="C42" s="412">
        <v>0.65</v>
      </c>
      <c r="D42" s="413"/>
      <c r="E42" s="413"/>
      <c r="F42" s="413"/>
      <c r="G42" s="413"/>
      <c r="H42" s="413"/>
      <c r="I42" s="413"/>
      <c r="J42" s="413"/>
      <c r="K42" s="413"/>
      <c r="L42" s="413"/>
      <c r="M42" s="413"/>
      <c r="N42" s="264" t="str">
        <f>IFERROR(IF(C42&gt;=INDEX(NDTEff,FIND(INDEX(C14:M19,MATCH(C37,B14:B19,0),MATCH(C38,P2:P12,0)),"ABCDE"),3),"&gt;&gt;  OK","&gt;&gt;  Coverage too low"),"?")</f>
        <v>&gt;&gt;  Coverage too low</v>
      </c>
      <c r="P42" s="312"/>
      <c r="Q42" s="312"/>
    </row>
    <row r="43" spans="1:17" ht="15.75">
      <c r="B43" s="297" t="s">
        <v>305</v>
      </c>
      <c r="C43" s="411"/>
      <c r="D43" s="411"/>
      <c r="E43" s="411"/>
      <c r="F43" s="411"/>
      <c r="G43" s="411"/>
      <c r="H43" s="411"/>
      <c r="I43" s="411"/>
      <c r="J43" s="411"/>
      <c r="K43" s="411"/>
      <c r="L43" s="411"/>
      <c r="M43" s="411"/>
      <c r="N43" s="294" t="s">
        <v>306</v>
      </c>
      <c r="P43" s="312"/>
      <c r="Q43" s="312"/>
    </row>
    <row r="44" spans="1:17" ht="15.75" thickBot="1">
      <c r="P44" s="312"/>
      <c r="Q44" s="312"/>
    </row>
    <row r="45" spans="1:17">
      <c r="A45" s="312"/>
      <c r="B45" s="312"/>
      <c r="D45" s="309" t="s">
        <v>307</v>
      </c>
      <c r="E45" s="211"/>
      <c r="F45" s="210"/>
      <c r="I45" s="312"/>
      <c r="J45" s="312"/>
      <c r="K45" s="312"/>
      <c r="L45" s="312"/>
      <c r="M45" s="312"/>
      <c r="N45" s="312"/>
      <c r="O45" s="312"/>
      <c r="P45" s="312"/>
      <c r="Q45" s="312"/>
    </row>
    <row r="46" spans="1:17" ht="16.5" thickBot="1">
      <c r="A46" s="312"/>
      <c r="B46" s="312"/>
      <c r="D46" s="307" t="s">
        <v>308</v>
      </c>
      <c r="E46" s="209" t="s">
        <v>309</v>
      </c>
      <c r="F46" s="308" t="s">
        <v>310</v>
      </c>
      <c r="I46" s="312"/>
      <c r="J46" s="312"/>
      <c r="K46" s="312"/>
      <c r="L46" s="312"/>
      <c r="M46" s="312"/>
      <c r="N46" s="312"/>
      <c r="O46" s="312"/>
      <c r="P46" s="312"/>
      <c r="Q46" s="312"/>
    </row>
    <row r="47" spans="1:17">
      <c r="A47" s="312"/>
      <c r="B47" s="312"/>
      <c r="D47" s="208" t="s">
        <v>270</v>
      </c>
      <c r="E47" s="207">
        <v>0.99</v>
      </c>
      <c r="F47" s="206">
        <v>1</v>
      </c>
      <c r="I47" s="312"/>
      <c r="J47" s="312"/>
      <c r="K47" s="312"/>
      <c r="L47" s="312"/>
      <c r="M47" s="312"/>
      <c r="N47" s="312"/>
      <c r="O47" s="312"/>
      <c r="P47" s="312"/>
      <c r="Q47" s="312"/>
    </row>
    <row r="48" spans="1:17">
      <c r="A48" s="312"/>
      <c r="B48" s="312"/>
      <c r="D48" s="208" t="s">
        <v>271</v>
      </c>
      <c r="E48" s="207">
        <v>0.9</v>
      </c>
      <c r="F48" s="206">
        <v>0.65</v>
      </c>
      <c r="I48" s="312"/>
      <c r="J48" s="312"/>
      <c r="K48" s="312"/>
      <c r="L48" s="312"/>
      <c r="M48" s="312"/>
      <c r="N48" s="312"/>
      <c r="O48" s="312"/>
      <c r="P48" s="312"/>
      <c r="Q48" s="312"/>
    </row>
    <row r="49" spans="1:17">
      <c r="A49" s="312"/>
      <c r="B49" s="312"/>
      <c r="D49" s="208" t="s">
        <v>272</v>
      </c>
      <c r="E49" s="207">
        <v>0.7</v>
      </c>
      <c r="F49" s="206">
        <v>0.35</v>
      </c>
      <c r="I49" s="312"/>
      <c r="J49" s="312"/>
      <c r="K49" s="312"/>
      <c r="L49" s="312"/>
      <c r="M49" s="312"/>
      <c r="N49" s="312"/>
      <c r="O49" s="312"/>
      <c r="P49" s="312"/>
      <c r="Q49" s="312"/>
    </row>
    <row r="50" spans="1:17">
      <c r="A50" s="312"/>
      <c r="B50" s="312"/>
      <c r="D50" s="208" t="s">
        <v>273</v>
      </c>
      <c r="E50" s="207">
        <v>0.3</v>
      </c>
      <c r="F50" s="206">
        <v>0.05</v>
      </c>
      <c r="I50" s="312"/>
      <c r="J50" s="312"/>
      <c r="K50" s="312"/>
      <c r="L50" s="312"/>
      <c r="M50" s="312"/>
      <c r="N50" s="312"/>
      <c r="O50" s="312"/>
      <c r="P50" s="312"/>
      <c r="Q50" s="312"/>
    </row>
    <row r="51" spans="1:17" ht="15.75" thickBot="1">
      <c r="A51" s="312"/>
      <c r="B51" s="312"/>
      <c r="D51" s="205" t="s">
        <v>275</v>
      </c>
      <c r="E51" s="204">
        <v>0</v>
      </c>
      <c r="F51" s="203"/>
      <c r="I51" s="312"/>
      <c r="J51" s="312"/>
      <c r="K51" s="312"/>
      <c r="L51" s="312"/>
      <c r="M51" s="312"/>
      <c r="N51" s="312"/>
      <c r="O51" s="312"/>
      <c r="P51" s="312"/>
      <c r="Q51" s="312"/>
    </row>
    <row r="52" spans="1:17">
      <c r="A52" s="312"/>
      <c r="B52" s="312"/>
      <c r="I52" s="312"/>
      <c r="J52" s="312"/>
      <c r="K52" s="312"/>
      <c r="L52" s="312"/>
      <c r="M52" s="312"/>
      <c r="N52" s="312"/>
      <c r="O52" s="312"/>
      <c r="P52" s="312"/>
      <c r="Q52" s="312"/>
    </row>
  </sheetData>
  <mergeCells count="25">
    <mergeCell ref="B26:B31"/>
    <mergeCell ref="C31:N31"/>
    <mergeCell ref="B35:N35"/>
    <mergeCell ref="C37:M37"/>
    <mergeCell ref="C38:M38"/>
    <mergeCell ref="D30:N30"/>
    <mergeCell ref="C43:M43"/>
    <mergeCell ref="C42:M42"/>
    <mergeCell ref="C40:E40"/>
    <mergeCell ref="F40:N40"/>
    <mergeCell ref="J24:N24"/>
    <mergeCell ref="I25:N25"/>
    <mergeCell ref="H26:N26"/>
    <mergeCell ref="G27:N27"/>
    <mergeCell ref="F28:N28"/>
    <mergeCell ref="E29:N29"/>
    <mergeCell ref="C41:E41"/>
    <mergeCell ref="F41:N41"/>
    <mergeCell ref="C39:M39"/>
    <mergeCell ref="C1:M1"/>
    <mergeCell ref="B3:B12"/>
    <mergeCell ref="C20:M20"/>
    <mergeCell ref="L22:N22"/>
    <mergeCell ref="K23:N23"/>
    <mergeCell ref="M21:N21"/>
  </mergeCells>
  <conditionalFormatting sqref="N42">
    <cfRule type="containsText" dxfId="14" priority="2" operator="containsText" text="OK">
      <formula>NOT(ISERROR(SEARCH("OK",N42)))</formula>
    </cfRule>
    <cfRule type="containsText" dxfId="13" priority="3" operator="containsText" text="too low">
      <formula>NOT(ISERROR(SEARCH("too low",N42)))</formula>
    </cfRule>
  </conditionalFormatting>
  <conditionalFormatting sqref="C14:M19">
    <cfRule type="cellIs" dxfId="12" priority="1" operator="equal">
      <formula>"?"</formula>
    </cfRule>
  </conditionalFormatting>
  <dataValidations xWindow="835" yWindow="272" count="14">
    <dataValidation type="list" errorStyle="warning" allowBlank="1" showInputMessage="1" showErrorMessage="1" sqref="C37:M37" xr:uid="{00000000-0002-0000-0500-000000000000}">
      <formula1>Typicals</formula1>
    </dataValidation>
    <dataValidation type="list" allowBlank="1" showInputMessage="1" showErrorMessage="1" sqref="C38:M38" xr:uid="{00000000-0002-0000-0500-000001000000}">
      <formula1>NDT_Technieken</formula1>
    </dataValidation>
    <dataValidation type="list" allowBlank="1" showInputMessage="1" showErrorMessage="1" promptTitle="Assessment percentage." prompt="The percentage of &quot;hotspots&quot; or suspicious locations that have been investigated." sqref="C42:M42" xr:uid="{00000000-0002-0000-0500-000002000000}">
      <formula1>"10%,20%,25%,30%,35%,40%,50%,65%,80%,100%"</formula1>
    </dataValidation>
    <dataValidation type="list" allowBlank="1" showInputMessage="1" showErrorMessage="1" promptTitle="Sensitivity:" prompt="The extent to which changes in the examined object can be determined._x000a_Three levels are recognized: Low / Medium / High " sqref="C40:E40" xr:uid="{00000000-0002-0000-0500-000003000000}">
      <formula1>"Low,Middle,High"</formula1>
    </dataValidation>
    <dataValidation type="list" allowBlank="1" showInputMessage="1" showErrorMessage="1" promptTitle="Accessibility:" prompt="The ease with which the technology can be applied in the relevant place._x000a_Three levels are recognized: Low / Medium / High._x000a_This relates in particular to costs; NOT so much on effectiveness. " sqref="C41:E41" xr:uid="{00000000-0002-0000-0500-000004000000}">
      <formula1>"Low,Middle,High"</formula1>
    </dataValidation>
    <dataValidation type="custom" showInputMessage="1" showErrorMessage="1" errorTitle="Please note:" error="This cell has been protected in order to prevent unintentional changes." sqref="B21:B31 F28:N28 E29:N29 D30:N30 F40:N41 C31:N31 N42 D47:F51 D45:F45 B20:M20 B2:B13 B37:B43" xr:uid="{00000000-0002-0000-0500-000005000000}">
      <formula1>0</formula1>
    </dataValidation>
    <dataValidation type="custom" showInputMessage="1" showErrorMessage="1" errorTitle="Please note:" error="This cell has been protected in order to prevent unintentional changes." promptTitle="Probability on &quot;false call&quot;:" prompt="The chance of finding an anomaly or damage, which on further investigation turns out to be no damage (the so-called &quot;False call&quot; or false &quot;positive&quot;- a defect detected is &quot;a positive&quot;)._x000a_This is inefficiency as it does not contribute to the intended result" sqref="C43:M43" xr:uid="{00000000-0002-0000-0500-000006000000}">
      <formula1>0</formula1>
    </dataValidation>
    <dataValidation type="custom" showInputMessage="1" showErrorMessage="1" errorTitle="Formula protected!" error="The formula is protected against unintended changes to ensure the functioning of the spreadsheet." promptTitle="Reduction factor:" prompt="The factor by which the risk is limited._x000a_A factor of 1 (or 100%) means no reduction._x000a_A factor of 0.01 (1%) means a factor of 100 reduction._x000a_This does depend on the coverage applied, which is why it will be checked in the next step." sqref="C39:M39" xr:uid="{00000000-0002-0000-0500-000007000000}">
      <formula1>0</formula1>
    </dataValidation>
    <dataValidation type="list" showInputMessage="1" showErrorMessage="1" errorTitle="Please note:" error="No other values can be added to avoid the result being inapplicable. " promptTitle="Level of failure rate reduction:" prompt="The degree of failure probability reduction that can be achieved with the given technique, as marked by the letter, analogous to API 581:_x000a_A= Highly Effective_x000a_B= Usually ,,_x000a_C= Fairly ,,_x000a_D= Poorly ,,_x000a_E= Ineffective_x000a_?= Unknown (To be determined) " sqref="C14:M19" xr:uid="{00000000-0002-0000-0500-000009000000}">
      <formula1>"A,B,C,D,E,?"</formula1>
    </dataValidation>
    <dataValidation type="custom" showInputMessage="1" showErrorMessage="1" errorTitle="Please note:" error="This cell has been protected in order to prevent unintentional changes." promptTitle="Coverage:" prompt="The percentage of the &quot;hot spots&quot;/risk areas, which have been investigated by means of NDT. " sqref="F46" xr:uid="{00000000-0002-0000-0500-00000A000000}">
      <formula1>0</formula1>
    </dataValidation>
    <dataValidation type="custom" showInputMessage="1" showErrorMessage="1" errorTitle="Please note:" error="This cell has been protected in order to prevent unintentional changes." promptTitle="Reduction factor:" prompt="The degree of risk reduction, when the applied technique has been used with the indicated effectiveness class, assuming coverage of hotspots that corresponds to the percentage in the next column. " sqref="E46" xr:uid="{00000000-0002-0000-0500-00000B000000}">
      <formula1>0</formula1>
    </dataValidation>
    <dataValidation type="custom" showInputMessage="1" showErrorMessage="1" errorTitle="Please note:" error="This cell has been protected in order to prevent unintentional changes." promptTitle="Effectivity class:" prompt="The effectivity class, analogous to the setup as per API 581." sqref="D46" xr:uid="{00000000-0002-0000-0500-00000C000000}">
      <formula1>0</formula1>
    </dataValidation>
    <dataValidation type="custom" showInputMessage="1" showErrorMessage="1" sqref="P2:P12" xr:uid="{00000000-0002-0000-0500-00000D000000}">
      <formula1>0</formula1>
    </dataValidation>
    <dataValidation allowBlank="1" showInputMessage="1" showErrorMessage="1" promptTitle="The effectivity of the technique" prompt="This mainly concerns the effectivity of the technique for detecting DAMAGE._x000a_Moisture detection=indirect._x000a_See notes where applicable._x000a__x000a_The focus is therefore mainly on the CONSEQUENCES of corrosion_x000a__x000a_Note: due to formulae used every cell should be filled" sqref="C13:M13" xr:uid="{00000000-0002-0000-0500-00000E000000}"/>
  </dataValidations>
  <pageMargins left="0.7" right="0.7" top="0.75" bottom="0.75" header="0.3" footer="0.3"/>
  <pageSetup paperSize="9" orientation="portrait" horizontalDpi="4294967295" verticalDpi="4294967295"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1" tint="0.34998626667073579"/>
  </sheetPr>
  <dimension ref="A1:G14"/>
  <sheetViews>
    <sheetView showRowColHeaders="0" workbookViewId="0">
      <selection activeCell="C7" sqref="C7"/>
    </sheetView>
  </sheetViews>
  <sheetFormatPr defaultColWidth="0" defaultRowHeight="15" zeroHeight="1"/>
  <cols>
    <col min="1" max="1" width="15.85546875" customWidth="1"/>
    <col min="2" max="2" width="9.85546875" customWidth="1"/>
    <col min="3" max="3" width="20.7109375" customWidth="1"/>
    <col min="4" max="4" width="24.42578125" customWidth="1"/>
    <col min="5" max="5" width="26.28515625" customWidth="1"/>
    <col min="6" max="6" width="19" customWidth="1"/>
    <col min="7" max="7" width="7.85546875" customWidth="1"/>
    <col min="8" max="16384" width="9.140625" hidden="1"/>
  </cols>
  <sheetData>
    <row r="1" spans="1:7" ht="60.75" thickBot="1">
      <c r="A1" s="50"/>
      <c r="B1" s="50"/>
      <c r="C1" s="50"/>
      <c r="D1" s="50"/>
      <c r="E1" s="50"/>
      <c r="F1" s="50"/>
      <c r="G1" s="450" t="s">
        <v>311</v>
      </c>
    </row>
    <row r="2" spans="1:7" ht="15.75">
      <c r="A2" s="50"/>
      <c r="B2" s="53"/>
      <c r="C2" s="54"/>
      <c r="D2" s="54"/>
      <c r="E2" s="54"/>
      <c r="F2" s="54"/>
      <c r="G2" s="55"/>
    </row>
    <row r="3" spans="1:7" ht="16.5" thickBot="1">
      <c r="A3" s="50"/>
      <c r="B3" s="57"/>
      <c r="C3" s="58"/>
      <c r="D3" s="58"/>
      <c r="E3" s="58"/>
      <c r="F3" s="58"/>
      <c r="G3" s="59" t="s">
        <v>312</v>
      </c>
    </row>
    <row r="4" spans="1:7" ht="27.75">
      <c r="A4" s="50"/>
      <c r="B4" s="60"/>
      <c r="C4" s="61" t="s">
        <v>2</v>
      </c>
      <c r="D4" s="62"/>
      <c r="E4" s="62"/>
      <c r="F4" s="62"/>
      <c r="G4" s="60"/>
    </row>
    <row r="5" spans="1:7" ht="15.75">
      <c r="A5" s="50"/>
      <c r="B5" s="60"/>
      <c r="C5" s="63" t="s">
        <v>4</v>
      </c>
      <c r="D5" s="439" t="s">
        <v>5</v>
      </c>
      <c r="E5" s="64"/>
      <c r="F5" s="62"/>
      <c r="G5" s="60"/>
    </row>
    <row r="6" spans="1:7" ht="15.75">
      <c r="A6" s="50"/>
      <c r="B6" s="60"/>
      <c r="C6" s="439" t="s">
        <v>313</v>
      </c>
      <c r="D6" s="64"/>
      <c r="E6" s="64"/>
      <c r="F6" s="62"/>
      <c r="G6" s="60"/>
    </row>
    <row r="7" spans="1:7" ht="15.75">
      <c r="A7" s="50"/>
      <c r="B7" s="60"/>
      <c r="C7" s="439" t="s">
        <v>314</v>
      </c>
      <c r="D7" s="64"/>
      <c r="E7" s="64"/>
      <c r="F7" s="62"/>
      <c r="G7" s="60"/>
    </row>
    <row r="8" spans="1:7" ht="15.75">
      <c r="A8" s="50"/>
      <c r="B8" s="60"/>
      <c r="C8" s="439" t="s">
        <v>315</v>
      </c>
      <c r="D8" s="64"/>
      <c r="E8" s="64"/>
      <c r="F8" s="62"/>
      <c r="G8" s="60"/>
    </row>
    <row r="9" spans="1:7" ht="15.75">
      <c r="A9" s="50"/>
      <c r="B9" s="60"/>
      <c r="C9" s="439" t="s">
        <v>316</v>
      </c>
      <c r="D9" s="62"/>
      <c r="E9" s="62"/>
      <c r="F9" s="62"/>
      <c r="G9" s="60"/>
    </row>
    <row r="10" spans="1:7" ht="15.75">
      <c r="A10" s="50"/>
      <c r="B10" s="60"/>
      <c r="C10" s="439" t="s">
        <v>317</v>
      </c>
      <c r="D10" s="62"/>
      <c r="E10" s="62"/>
      <c r="F10" s="62"/>
      <c r="G10" s="60"/>
    </row>
    <row r="11" spans="1:7" ht="16.5" thickBot="1">
      <c r="A11" s="50"/>
      <c r="B11" s="60"/>
      <c r="C11" s="71"/>
      <c r="D11" s="72"/>
      <c r="E11" s="72"/>
      <c r="F11" s="63" t="s">
        <v>318</v>
      </c>
      <c r="G11" s="60"/>
    </row>
    <row r="12" spans="1:7" ht="15.75">
      <c r="A12" s="50"/>
      <c r="B12" s="57"/>
      <c r="C12" s="54"/>
      <c r="D12" s="54"/>
      <c r="E12" s="54"/>
      <c r="F12" s="54"/>
      <c r="G12" s="73"/>
    </row>
    <row r="13" spans="1:7" ht="16.5" thickBot="1">
      <c r="A13" s="50"/>
      <c r="B13" s="74"/>
      <c r="C13" s="58"/>
      <c r="D13" s="58"/>
      <c r="E13" s="58"/>
      <c r="F13" s="58"/>
      <c r="G13" s="75"/>
    </row>
    <row r="14" spans="1:7" ht="16.5" hidden="1" thickBot="1">
      <c r="A14" s="50"/>
      <c r="B14" s="7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E6E6E6"/>
    <pageSetUpPr fitToPage="1"/>
  </sheetPr>
  <dimension ref="A1:AG60"/>
  <sheetViews>
    <sheetView zoomScaleNormal="100" workbookViewId="0">
      <selection activeCell="J14" sqref="J14"/>
    </sheetView>
  </sheetViews>
  <sheetFormatPr defaultColWidth="0" defaultRowHeight="12.75" zeroHeight="1"/>
  <cols>
    <col min="1" max="1" width="1.42578125" style="324" customWidth="1"/>
    <col min="2" max="2" width="5.85546875" style="78" customWidth="1"/>
    <col min="3" max="3" width="29.28515625" style="78" customWidth="1"/>
    <col min="4" max="4" width="10.5703125" style="78" customWidth="1"/>
    <col min="5" max="5" width="10" style="78" customWidth="1"/>
    <col min="6" max="6" width="9.28515625" style="78" customWidth="1"/>
    <col min="7" max="7" width="2.140625" style="78" customWidth="1"/>
    <col min="8" max="8" width="6.28515625" style="78" customWidth="1"/>
    <col min="9" max="9" width="27.7109375" style="78" customWidth="1"/>
    <col min="10" max="10" width="9.28515625" style="78" customWidth="1"/>
    <col min="11" max="13" width="6.28515625" style="78" customWidth="1"/>
    <col min="14" max="33" width="6.28515625" style="78" hidden="1" customWidth="1"/>
    <col min="34" max="16384" width="9.140625" style="78" hidden="1"/>
  </cols>
  <sheetData>
    <row r="1" spans="2:13" ht="18.75">
      <c r="B1" s="425" t="s">
        <v>319</v>
      </c>
      <c r="C1" s="426"/>
      <c r="D1" s="426"/>
      <c r="E1" s="426"/>
      <c r="F1" s="426"/>
      <c r="G1" s="426"/>
      <c r="H1" s="426"/>
      <c r="I1" s="426"/>
      <c r="J1" s="426"/>
      <c r="K1" s="426"/>
      <c r="L1" s="426"/>
      <c r="M1" s="324"/>
    </row>
    <row r="2" spans="2:13">
      <c r="B2" s="427" t="s">
        <v>320</v>
      </c>
      <c r="C2" s="427"/>
      <c r="D2" s="427"/>
      <c r="E2" s="427"/>
      <c r="F2" s="427"/>
      <c r="G2" s="428"/>
      <c r="H2" s="428"/>
      <c r="I2" s="428"/>
      <c r="J2" s="428"/>
      <c r="K2" s="428"/>
      <c r="L2" s="428"/>
      <c r="M2" s="324"/>
    </row>
    <row r="3" spans="2:13">
      <c r="B3" s="324"/>
      <c r="C3" s="324"/>
      <c r="D3" s="324"/>
      <c r="E3" s="325"/>
      <c r="F3" s="325"/>
      <c r="G3" s="325"/>
      <c r="H3" s="325"/>
      <c r="I3" s="325"/>
      <c r="J3" s="324"/>
      <c r="K3" s="324"/>
      <c r="L3" s="324"/>
      <c r="M3" s="324"/>
    </row>
    <row r="4" spans="2:13">
      <c r="B4" s="429" t="s">
        <v>321</v>
      </c>
      <c r="C4" s="430"/>
      <c r="D4" s="430"/>
      <c r="E4" s="430"/>
      <c r="F4" s="431"/>
      <c r="G4" s="80"/>
      <c r="H4" s="429" t="s">
        <v>322</v>
      </c>
      <c r="I4" s="430"/>
      <c r="J4" s="430"/>
      <c r="K4" s="430"/>
      <c r="L4" s="431"/>
      <c r="M4" s="324"/>
    </row>
    <row r="5" spans="2:13">
      <c r="B5" s="119"/>
      <c r="C5" s="118"/>
      <c r="D5" s="118"/>
      <c r="E5" s="118"/>
      <c r="F5" s="117"/>
      <c r="G5" s="80"/>
      <c r="H5" s="119"/>
      <c r="I5" s="118"/>
      <c r="J5" s="109"/>
      <c r="K5" s="109"/>
      <c r="L5" s="117"/>
      <c r="M5" s="324"/>
    </row>
    <row r="6" spans="2:13" ht="15">
      <c r="B6" s="87"/>
      <c r="C6" s="85"/>
      <c r="D6" s="85"/>
      <c r="E6" s="85"/>
      <c r="F6" s="84"/>
      <c r="G6" s="80"/>
      <c r="H6" s="87"/>
      <c r="I6" s="92" t="s">
        <v>323</v>
      </c>
      <c r="J6" s="346">
        <f>D8*D9</f>
        <v>32</v>
      </c>
      <c r="K6" s="116" t="s">
        <v>324</v>
      </c>
      <c r="L6" s="100" t="s">
        <v>325</v>
      </c>
      <c r="M6" s="324"/>
    </row>
    <row r="7" spans="2:13" ht="15">
      <c r="B7" s="87"/>
      <c r="C7" s="88" t="s">
        <v>326</v>
      </c>
      <c r="D7" s="337">
        <f>'Life cycle costing'!D71</f>
        <v>30</v>
      </c>
      <c r="E7" s="90" t="s">
        <v>327</v>
      </c>
      <c r="F7" s="115" t="s">
        <v>328</v>
      </c>
      <c r="G7" s="80"/>
      <c r="H7" s="87"/>
      <c r="I7" s="85"/>
      <c r="J7" s="85"/>
      <c r="K7" s="85"/>
      <c r="L7" s="84"/>
      <c r="M7" s="324"/>
    </row>
    <row r="8" spans="2:13" ht="15">
      <c r="B8" s="87"/>
      <c r="C8" s="88" t="s">
        <v>329</v>
      </c>
      <c r="D8" s="337">
        <f>'Life cycle costing'!D72</f>
        <v>16</v>
      </c>
      <c r="E8" s="90" t="s">
        <v>327</v>
      </c>
      <c r="F8" s="115" t="s">
        <v>330</v>
      </c>
      <c r="G8" s="80"/>
      <c r="H8" s="99" t="s">
        <v>331</v>
      </c>
      <c r="I8" s="88" t="s">
        <v>38</v>
      </c>
      <c r="J8" s="345">
        <f>INDEX('Source SCAFF 2004'!$B$5:$AK$34,'Input and Output'!$D$7,'Input and Output'!$J$6)</f>
        <v>7035.428571428577</v>
      </c>
      <c r="K8" s="92" t="s">
        <v>332</v>
      </c>
      <c r="L8" s="100" t="s">
        <v>333</v>
      </c>
      <c r="M8" s="324"/>
    </row>
    <row r="9" spans="2:13" ht="15">
      <c r="B9" s="87"/>
      <c r="C9" s="88" t="s">
        <v>334</v>
      </c>
      <c r="D9" s="337">
        <f>'Life cycle costing'!D73</f>
        <v>2</v>
      </c>
      <c r="E9" s="90" t="s">
        <v>327</v>
      </c>
      <c r="F9" s="115" t="s">
        <v>330</v>
      </c>
      <c r="G9" s="80"/>
      <c r="H9" s="99" t="s">
        <v>335</v>
      </c>
      <c r="I9" s="88" t="s">
        <v>336</v>
      </c>
      <c r="J9" s="345" t="str">
        <f>IF(D10&gt;2,SUM(INDEX('Source SCAFF 2004'!$B$5:$AK$34,'Input and Output'!$D$7,'Input and Output'!$J$6),(('Input and Output'!$D$10-2)*(INDEX('Source SCAFF 2004'!$B$40:$AK$69,'Input and Output'!$D$7,'Input and Output'!$J$6)))),"")</f>
        <v/>
      </c>
      <c r="K9" s="92" t="s">
        <v>332</v>
      </c>
      <c r="L9" s="100" t="s">
        <v>337</v>
      </c>
      <c r="M9" s="324"/>
    </row>
    <row r="10" spans="2:13" ht="15">
      <c r="B10" s="87"/>
      <c r="C10" s="88" t="s">
        <v>338</v>
      </c>
      <c r="D10" s="338">
        <f>'Life cycle costing'!D74</f>
        <v>2</v>
      </c>
      <c r="E10" s="90" t="s">
        <v>339</v>
      </c>
      <c r="F10" s="115" t="s">
        <v>340</v>
      </c>
      <c r="G10" s="80"/>
      <c r="H10" s="99" t="s">
        <v>341</v>
      </c>
      <c r="I10" s="88" t="s">
        <v>342</v>
      </c>
      <c r="J10" s="345">
        <f ca="1">IF(D10&gt;2,(((1+D14/100)^(D13-D15))*J9),(((1+D14/100)^(D13-D15))*J8))</f>
        <v>16931.597717259807</v>
      </c>
      <c r="K10" s="92" t="s">
        <v>332</v>
      </c>
      <c r="L10" s="114"/>
      <c r="M10" s="324"/>
    </row>
    <row r="11" spans="2:13">
      <c r="B11" s="87"/>
      <c r="C11" s="88"/>
      <c r="D11" s="85"/>
      <c r="E11" s="85"/>
      <c r="F11" s="84"/>
      <c r="G11" s="80"/>
      <c r="H11" s="87"/>
      <c r="I11" s="85"/>
      <c r="J11" s="85"/>
      <c r="K11" s="85"/>
      <c r="L11" s="84"/>
      <c r="M11" s="324"/>
    </row>
    <row r="12" spans="2:13">
      <c r="B12" s="87"/>
      <c r="C12" s="88"/>
      <c r="D12" s="85"/>
      <c r="E12" s="85"/>
      <c r="F12" s="84"/>
      <c r="G12" s="80"/>
      <c r="H12" s="87"/>
      <c r="I12" s="85"/>
      <c r="J12" s="85"/>
      <c r="K12" s="85"/>
      <c r="L12" s="84"/>
      <c r="M12" s="324"/>
    </row>
    <row r="13" spans="2:13" ht="15">
      <c r="B13" s="87"/>
      <c r="C13" s="88" t="s">
        <v>343</v>
      </c>
      <c r="D13" s="339">
        <f ca="1">YEAR(NOW())</f>
        <v>2022</v>
      </c>
      <c r="E13" s="85"/>
      <c r="F13" s="84"/>
      <c r="G13" s="113"/>
      <c r="H13" s="87"/>
      <c r="I13" s="85"/>
      <c r="J13" s="111"/>
      <c r="K13" s="85"/>
      <c r="L13" s="101"/>
      <c r="M13" s="324"/>
    </row>
    <row r="14" spans="2:13" ht="15">
      <c r="B14" s="87"/>
      <c r="C14" s="88" t="s">
        <v>344</v>
      </c>
      <c r="D14" s="340">
        <v>5</v>
      </c>
      <c r="E14" s="90" t="s">
        <v>345</v>
      </c>
      <c r="F14" s="84"/>
      <c r="G14" s="112"/>
      <c r="H14" s="87"/>
      <c r="I14" s="85"/>
      <c r="J14" s="111"/>
      <c r="K14" s="85"/>
      <c r="L14" s="101"/>
      <c r="M14" s="324"/>
    </row>
    <row r="15" spans="2:13" ht="15">
      <c r="B15" s="87"/>
      <c r="C15" s="88" t="s">
        <v>346</v>
      </c>
      <c r="D15" s="341">
        <v>2004</v>
      </c>
      <c r="E15" s="85"/>
      <c r="F15" s="84"/>
      <c r="G15" s="80"/>
      <c r="H15" s="87"/>
      <c r="I15" s="85"/>
      <c r="J15" s="85"/>
      <c r="K15" s="85"/>
      <c r="L15" s="101"/>
      <c r="M15" s="324"/>
    </row>
    <row r="16" spans="2:13">
      <c r="B16" s="87"/>
      <c r="C16" s="85"/>
      <c r="D16" s="85"/>
      <c r="E16" s="85"/>
      <c r="F16" s="84"/>
      <c r="G16" s="80"/>
      <c r="H16" s="87"/>
      <c r="I16" s="85"/>
      <c r="J16" s="111"/>
      <c r="K16" s="85"/>
      <c r="L16" s="101"/>
      <c r="M16" s="324"/>
    </row>
    <row r="17" spans="2:13" ht="15">
      <c r="B17" s="86" t="s">
        <v>347</v>
      </c>
      <c r="C17" s="85"/>
      <c r="D17" s="85"/>
      <c r="E17" s="85"/>
      <c r="F17" s="84"/>
      <c r="G17" s="80"/>
      <c r="H17" s="110" t="s">
        <v>348</v>
      </c>
      <c r="I17" s="85"/>
      <c r="J17" s="85"/>
      <c r="K17" s="85"/>
      <c r="L17" s="84"/>
      <c r="M17" s="324"/>
    </row>
    <row r="18" spans="2:13">
      <c r="B18" s="86" t="s">
        <v>349</v>
      </c>
      <c r="C18" s="85"/>
      <c r="D18" s="85"/>
      <c r="E18" s="85"/>
      <c r="F18" s="84"/>
      <c r="G18" s="80"/>
      <c r="H18" s="86" t="s">
        <v>350</v>
      </c>
      <c r="I18" s="85"/>
      <c r="J18" s="85"/>
      <c r="K18" s="85"/>
      <c r="L18" s="84"/>
      <c r="M18" s="324"/>
    </row>
    <row r="19" spans="2:13">
      <c r="B19" s="86" t="s">
        <v>351</v>
      </c>
      <c r="C19" s="85"/>
      <c r="D19" s="85"/>
      <c r="E19" s="85"/>
      <c r="F19" s="84"/>
      <c r="G19" s="80"/>
      <c r="H19" s="86" t="s">
        <v>352</v>
      </c>
      <c r="I19" s="85"/>
      <c r="J19" s="85"/>
      <c r="K19" s="85"/>
      <c r="L19" s="84"/>
      <c r="M19" s="324"/>
    </row>
    <row r="20" spans="2:13">
      <c r="B20" s="86" t="s">
        <v>353</v>
      </c>
      <c r="C20" s="85"/>
      <c r="D20" s="85"/>
      <c r="E20" s="85"/>
      <c r="F20" s="84"/>
      <c r="G20" s="80"/>
      <c r="H20" s="86"/>
      <c r="I20" s="85"/>
      <c r="J20" s="85"/>
      <c r="K20" s="85"/>
      <c r="L20" s="84"/>
      <c r="M20" s="324"/>
    </row>
    <row r="21" spans="2:13">
      <c r="B21" s="86" t="s">
        <v>354</v>
      </c>
      <c r="C21" s="85"/>
      <c r="D21" s="85"/>
      <c r="E21" s="85"/>
      <c r="F21" s="84"/>
      <c r="G21" s="80"/>
      <c r="H21" s="86"/>
      <c r="I21" s="85"/>
      <c r="J21" s="85"/>
      <c r="K21" s="85"/>
      <c r="L21" s="84"/>
      <c r="M21" s="324"/>
    </row>
    <row r="22" spans="2:13">
      <c r="B22" s="83" t="s">
        <v>355</v>
      </c>
      <c r="C22" s="82"/>
      <c r="D22" s="82"/>
      <c r="E22" s="82"/>
      <c r="F22" s="81"/>
      <c r="G22" s="80"/>
      <c r="H22" s="83"/>
      <c r="I22" s="82"/>
      <c r="J22" s="82"/>
      <c r="K22" s="82"/>
      <c r="L22" s="81"/>
      <c r="M22" s="324"/>
    </row>
    <row r="23" spans="2:13">
      <c r="B23" s="324"/>
      <c r="C23" s="324"/>
      <c r="D23" s="324"/>
      <c r="E23" s="324"/>
      <c r="F23" s="324"/>
      <c r="G23" s="324"/>
      <c r="H23" s="324"/>
      <c r="I23" s="324"/>
      <c r="J23" s="324"/>
      <c r="K23" s="324"/>
      <c r="L23" s="324"/>
      <c r="M23" s="324"/>
    </row>
    <row r="24" spans="2:13">
      <c r="B24" s="324"/>
      <c r="C24" s="324"/>
      <c r="D24" s="324"/>
      <c r="E24" s="324"/>
      <c r="F24" s="324"/>
      <c r="G24" s="324"/>
      <c r="H24" s="324"/>
      <c r="I24" s="324"/>
      <c r="J24" s="324"/>
      <c r="K24" s="324"/>
      <c r="L24" s="324"/>
      <c r="M24" s="324"/>
    </row>
    <row r="25" spans="2:13">
      <c r="B25" s="427" t="s">
        <v>356</v>
      </c>
      <c r="C25" s="427"/>
      <c r="D25" s="427"/>
      <c r="E25" s="427"/>
      <c r="F25" s="427"/>
      <c r="G25" s="428"/>
      <c r="H25" s="428"/>
      <c r="I25" s="428"/>
      <c r="J25" s="428"/>
      <c r="K25" s="428"/>
      <c r="L25" s="428"/>
      <c r="M25" s="324"/>
    </row>
    <row r="26" spans="2:13">
      <c r="B26" s="324"/>
      <c r="C26" s="324"/>
      <c r="D26" s="324"/>
      <c r="E26" s="325"/>
      <c r="F26" s="325"/>
      <c r="G26" s="325"/>
      <c r="H26" s="325"/>
      <c r="I26" s="325"/>
      <c r="J26" s="324"/>
      <c r="K26" s="324"/>
      <c r="L26" s="324"/>
      <c r="M26" s="324"/>
    </row>
    <row r="27" spans="2:13">
      <c r="B27" s="432" t="s">
        <v>321</v>
      </c>
      <c r="C27" s="433"/>
      <c r="D27" s="433"/>
      <c r="E27" s="433"/>
      <c r="F27" s="434"/>
      <c r="G27" s="80"/>
      <c r="H27" s="429" t="s">
        <v>322</v>
      </c>
      <c r="I27" s="430"/>
      <c r="J27" s="430"/>
      <c r="K27" s="430"/>
      <c r="L27" s="431"/>
      <c r="M27" s="324"/>
    </row>
    <row r="28" spans="2:13">
      <c r="B28" s="103" t="s">
        <v>357</v>
      </c>
      <c r="C28" s="109"/>
      <c r="D28" s="109"/>
      <c r="E28" s="109"/>
      <c r="F28" s="108"/>
      <c r="G28" s="80"/>
      <c r="H28" s="102" t="s">
        <v>357</v>
      </c>
      <c r="I28" s="85"/>
      <c r="J28" s="85"/>
      <c r="K28" s="85"/>
      <c r="L28" s="105"/>
      <c r="M28" s="324"/>
    </row>
    <row r="29" spans="2:13">
      <c r="B29" s="107"/>
      <c r="C29" s="85" t="s">
        <v>358</v>
      </c>
      <c r="D29" s="106"/>
      <c r="E29" s="106"/>
      <c r="F29" s="105"/>
      <c r="G29" s="80"/>
      <c r="H29" s="87"/>
      <c r="I29" s="85"/>
      <c r="J29" s="85"/>
      <c r="K29" s="85"/>
      <c r="L29" s="84"/>
      <c r="M29" s="324"/>
    </row>
    <row r="30" spans="2:13" ht="15">
      <c r="B30" s="87"/>
      <c r="C30" s="88" t="s">
        <v>359</v>
      </c>
      <c r="D30" s="342">
        <v>150</v>
      </c>
      <c r="E30" s="85" t="s">
        <v>360</v>
      </c>
      <c r="F30" s="100" t="s">
        <v>330</v>
      </c>
      <c r="G30" s="80"/>
      <c r="H30" s="99" t="s">
        <v>331</v>
      </c>
      <c r="I30" s="88" t="s">
        <v>38</v>
      </c>
      <c r="J30" s="345">
        <f>IF(D31=0,"",(INDEX('Source INSU 2002'!$C$11:$W$35,'Source INSU 2002'!$I$5,'Source INSU 2002'!$I$6))*D31)</f>
        <v>317.64615126309724</v>
      </c>
      <c r="K30" s="92" t="s">
        <v>332</v>
      </c>
      <c r="L30" s="84"/>
      <c r="M30" s="324"/>
    </row>
    <row r="31" spans="2:13" ht="15">
      <c r="B31" s="87"/>
      <c r="C31" s="88" t="s">
        <v>329</v>
      </c>
      <c r="D31" s="343">
        <v>5</v>
      </c>
      <c r="E31" s="90" t="s">
        <v>327</v>
      </c>
      <c r="F31" s="100" t="s">
        <v>361</v>
      </c>
      <c r="G31" s="80"/>
      <c r="H31" s="99" t="s">
        <v>335</v>
      </c>
      <c r="I31" s="88" t="s">
        <v>342</v>
      </c>
      <c r="J31" s="345">
        <f ca="1">IF(D31=0,"",((1+D39/100)^(D38-D40))*J30)</f>
        <v>842.80980419433354</v>
      </c>
      <c r="K31" s="92" t="s">
        <v>332</v>
      </c>
      <c r="L31" s="100"/>
      <c r="M31" s="324"/>
    </row>
    <row r="32" spans="2:13" ht="15">
      <c r="B32" s="96"/>
      <c r="C32" s="98" t="s">
        <v>362</v>
      </c>
      <c r="D32" s="344">
        <v>40</v>
      </c>
      <c r="E32" s="82" t="s">
        <v>360</v>
      </c>
      <c r="F32" s="97" t="s">
        <v>363</v>
      </c>
      <c r="G32" s="80"/>
      <c r="H32" s="96"/>
      <c r="I32" s="82"/>
      <c r="J32" s="104"/>
      <c r="K32" s="82"/>
      <c r="L32" s="97"/>
      <c r="M32" s="324"/>
    </row>
    <row r="33" spans="2:14">
      <c r="B33" s="103" t="s">
        <v>364</v>
      </c>
      <c r="C33" s="92"/>
      <c r="D33" s="85"/>
      <c r="E33" s="85"/>
      <c r="F33" s="100"/>
      <c r="G33" s="80"/>
      <c r="H33" s="102" t="s">
        <v>364</v>
      </c>
      <c r="I33" s="85"/>
      <c r="J33" s="85"/>
      <c r="K33" s="85"/>
      <c r="L33" s="101"/>
      <c r="M33" s="324"/>
    </row>
    <row r="34" spans="2:14">
      <c r="B34" s="87"/>
      <c r="C34" s="85" t="s">
        <v>358</v>
      </c>
      <c r="D34" s="85"/>
      <c r="E34" s="85"/>
      <c r="F34" s="100"/>
      <c r="G34" s="80"/>
      <c r="H34" s="87"/>
      <c r="I34" s="85"/>
      <c r="J34" s="85"/>
      <c r="K34" s="85"/>
      <c r="L34" s="101"/>
      <c r="M34" s="324"/>
    </row>
    <row r="35" spans="2:14" ht="15">
      <c r="B35" s="87"/>
      <c r="C35" s="88" t="s">
        <v>359</v>
      </c>
      <c r="D35" s="344">
        <f>D30</f>
        <v>150</v>
      </c>
      <c r="E35" s="85" t="s">
        <v>360</v>
      </c>
      <c r="F35" s="100" t="s">
        <v>365</v>
      </c>
      <c r="G35" s="80"/>
      <c r="H35" s="99" t="s">
        <v>331</v>
      </c>
      <c r="I35" s="88" t="s">
        <v>38</v>
      </c>
      <c r="J35" s="345">
        <f>IF(D36=0,"",(INDEX('Source INSU 2002'!$C$46:$L$64,'Source INSU 2002'!$I$40,'Source INSU 2002'!$I$41))*D36)</f>
        <v>748.73735654872917</v>
      </c>
      <c r="K35" s="92" t="s">
        <v>332</v>
      </c>
      <c r="L35" s="101"/>
      <c r="M35" s="324"/>
      <c r="N35" s="95"/>
    </row>
    <row r="36" spans="2:14" ht="15">
      <c r="B36" s="87"/>
      <c r="C36" s="88" t="s">
        <v>329</v>
      </c>
      <c r="D36" s="337">
        <f>D31</f>
        <v>5</v>
      </c>
      <c r="E36" s="90" t="s">
        <v>327</v>
      </c>
      <c r="F36" s="100" t="s">
        <v>361</v>
      </c>
      <c r="G36" s="80"/>
      <c r="H36" s="99" t="s">
        <v>335</v>
      </c>
      <c r="I36" s="88" t="s">
        <v>342</v>
      </c>
      <c r="J36" s="345">
        <f ca="1">IF(D36=0,"",((1+D39/100)^(D38-D40))*J35)</f>
        <v>1986.6231098866431</v>
      </c>
      <c r="K36" s="92" t="s">
        <v>332</v>
      </c>
      <c r="L36" s="84"/>
      <c r="M36" s="324"/>
    </row>
    <row r="37" spans="2:14" ht="15">
      <c r="B37" s="96"/>
      <c r="C37" s="98" t="s">
        <v>362</v>
      </c>
      <c r="D37" s="344">
        <f>D32</f>
        <v>40</v>
      </c>
      <c r="E37" s="82" t="s">
        <v>360</v>
      </c>
      <c r="F37" s="97" t="s">
        <v>366</v>
      </c>
      <c r="G37" s="80"/>
      <c r="H37" s="96"/>
      <c r="I37" s="82"/>
      <c r="J37" s="82"/>
      <c r="K37" s="82"/>
      <c r="L37" s="81"/>
      <c r="M37" s="324"/>
      <c r="N37" s="95"/>
    </row>
    <row r="38" spans="2:14" ht="15">
      <c r="B38" s="94"/>
      <c r="C38" s="93" t="s">
        <v>367</v>
      </c>
      <c r="D38" s="341">
        <f ca="1">D13</f>
        <v>2022</v>
      </c>
      <c r="E38" s="92"/>
      <c r="F38" s="91"/>
      <c r="G38" s="324"/>
      <c r="H38" s="324"/>
      <c r="I38" s="324"/>
      <c r="J38" s="324"/>
      <c r="K38" s="324"/>
      <c r="L38" s="324"/>
      <c r="M38" s="324"/>
    </row>
    <row r="39" spans="2:14" ht="15">
      <c r="B39" s="87"/>
      <c r="C39" s="88" t="s">
        <v>368</v>
      </c>
      <c r="D39" s="340">
        <v>5</v>
      </c>
      <c r="E39" s="90" t="s">
        <v>345</v>
      </c>
      <c r="F39" s="89"/>
      <c r="G39" s="324"/>
      <c r="H39" s="324"/>
      <c r="I39" s="324"/>
      <c r="J39" s="324"/>
      <c r="K39" s="324"/>
      <c r="L39" s="324"/>
      <c r="M39" s="324"/>
    </row>
    <row r="40" spans="2:14" ht="15">
      <c r="B40" s="87"/>
      <c r="C40" s="88" t="s">
        <v>369</v>
      </c>
      <c r="D40" s="341">
        <v>2002</v>
      </c>
      <c r="E40" s="85"/>
      <c r="F40" s="84"/>
      <c r="G40" s="324"/>
      <c r="H40" s="324"/>
      <c r="I40" s="324"/>
      <c r="J40" s="324"/>
      <c r="K40" s="324"/>
      <c r="L40" s="324"/>
      <c r="M40" s="324"/>
    </row>
    <row r="41" spans="2:14">
      <c r="B41" s="87"/>
      <c r="C41" s="85"/>
      <c r="D41" s="85"/>
      <c r="E41" s="85"/>
      <c r="F41" s="84"/>
      <c r="G41" s="324"/>
      <c r="H41" s="324"/>
      <c r="I41" s="324"/>
      <c r="J41" s="324"/>
      <c r="K41" s="324"/>
      <c r="L41" s="324"/>
      <c r="M41" s="324"/>
    </row>
    <row r="42" spans="2:14">
      <c r="B42" s="86" t="s">
        <v>370</v>
      </c>
      <c r="C42" s="85"/>
      <c r="D42" s="85"/>
      <c r="E42" s="85"/>
      <c r="F42" s="84"/>
      <c r="G42" s="324"/>
      <c r="H42" s="324"/>
      <c r="I42" s="324"/>
      <c r="J42" s="324"/>
      <c r="K42" s="324"/>
      <c r="L42" s="324"/>
      <c r="M42" s="324"/>
    </row>
    <row r="43" spans="2:14">
      <c r="B43" s="86" t="s">
        <v>371</v>
      </c>
      <c r="C43" s="85"/>
      <c r="D43" s="85"/>
      <c r="E43" s="85"/>
      <c r="F43" s="84"/>
      <c r="G43" s="324"/>
      <c r="H43" s="324"/>
      <c r="I43" s="324"/>
      <c r="J43" s="324"/>
      <c r="K43" s="324"/>
      <c r="L43" s="324"/>
      <c r="M43" s="324"/>
    </row>
    <row r="44" spans="2:14">
      <c r="B44" s="86" t="s">
        <v>372</v>
      </c>
      <c r="C44" s="85"/>
      <c r="D44" s="85"/>
      <c r="E44" s="85"/>
      <c r="F44" s="84"/>
      <c r="G44" s="324"/>
      <c r="H44" s="324"/>
      <c r="I44" s="324"/>
      <c r="J44" s="324"/>
      <c r="K44" s="324"/>
      <c r="L44" s="324"/>
      <c r="M44" s="324"/>
    </row>
    <row r="45" spans="2:14">
      <c r="B45" s="86" t="s">
        <v>373</v>
      </c>
      <c r="C45" s="85"/>
      <c r="D45" s="85"/>
      <c r="E45" s="85"/>
      <c r="F45" s="84"/>
      <c r="G45" s="324"/>
      <c r="H45" s="324"/>
      <c r="I45" s="324"/>
      <c r="J45" s="324"/>
      <c r="K45" s="324"/>
      <c r="L45" s="324"/>
      <c r="M45" s="324"/>
    </row>
    <row r="46" spans="2:14">
      <c r="B46" s="86" t="s">
        <v>374</v>
      </c>
      <c r="C46" s="85"/>
      <c r="D46" s="85"/>
      <c r="E46" s="85"/>
      <c r="F46" s="84"/>
      <c r="G46" s="324"/>
      <c r="H46" s="324"/>
      <c r="I46" s="324"/>
      <c r="J46" s="324"/>
      <c r="K46" s="324"/>
      <c r="L46" s="324"/>
      <c r="M46" s="324"/>
    </row>
    <row r="47" spans="2:14">
      <c r="B47" s="86" t="s">
        <v>375</v>
      </c>
      <c r="C47" s="85"/>
      <c r="D47" s="85"/>
      <c r="E47" s="85"/>
      <c r="F47" s="84"/>
      <c r="G47" s="324"/>
      <c r="H47" s="324"/>
      <c r="I47" s="324"/>
      <c r="J47" s="324"/>
      <c r="K47" s="324"/>
      <c r="L47" s="324"/>
      <c r="M47" s="324"/>
    </row>
    <row r="48" spans="2:14">
      <c r="B48" s="86" t="s">
        <v>376</v>
      </c>
      <c r="C48" s="85"/>
      <c r="D48" s="85"/>
      <c r="E48" s="85"/>
      <c r="F48" s="84"/>
      <c r="G48" s="324"/>
      <c r="H48" s="324"/>
      <c r="I48" s="324"/>
      <c r="J48" s="324"/>
      <c r="K48" s="324"/>
      <c r="L48" s="324"/>
      <c r="M48" s="324"/>
    </row>
    <row r="49" spans="2:13">
      <c r="B49" s="83" t="s">
        <v>377</v>
      </c>
      <c r="C49" s="82"/>
      <c r="D49" s="82"/>
      <c r="E49" s="82"/>
      <c r="F49" s="81"/>
      <c r="G49" s="324"/>
      <c r="H49" s="324"/>
      <c r="I49" s="324"/>
      <c r="J49" s="324"/>
      <c r="K49" s="324"/>
      <c r="L49" s="324"/>
      <c r="M49" s="324"/>
    </row>
    <row r="50" spans="2:13">
      <c r="B50" s="324"/>
      <c r="C50" s="324"/>
      <c r="D50" s="324"/>
      <c r="E50" s="324"/>
      <c r="F50" s="324"/>
      <c r="G50" s="324"/>
      <c r="H50" s="324"/>
      <c r="I50" s="324"/>
      <c r="J50" s="324"/>
      <c r="K50" s="324"/>
      <c r="L50" s="324"/>
      <c r="M50" s="324"/>
    </row>
    <row r="53" spans="2:13" hidden="1">
      <c r="B53" s="79"/>
    </row>
    <row r="60" spans="2:13" hidden="1">
      <c r="B60" s="79"/>
    </row>
  </sheetData>
  <sheetProtection selectLockedCells="1"/>
  <mergeCells count="7">
    <mergeCell ref="B1:L1"/>
    <mergeCell ref="B2:L2"/>
    <mergeCell ref="B4:F4"/>
    <mergeCell ref="H4:L4"/>
    <mergeCell ref="B27:F27"/>
    <mergeCell ref="H27:L27"/>
    <mergeCell ref="B25:L25"/>
  </mergeCells>
  <conditionalFormatting sqref="D7">
    <cfRule type="cellIs" dxfId="11" priority="1" stopIfTrue="1" operator="between">
      <formula>1</formula>
      <formula>30</formula>
    </cfRule>
    <cfRule type="cellIs" dxfId="10" priority="2" stopIfTrue="1" operator="notBetween">
      <formula>1</formula>
      <formula>30</formula>
    </cfRule>
  </conditionalFormatting>
  <conditionalFormatting sqref="J6">
    <cfRule type="cellIs" dxfId="9" priority="3" stopIfTrue="1" operator="between">
      <formula>0</formula>
      <formula>36</formula>
    </cfRule>
    <cfRule type="cellIs" dxfId="8" priority="4" stopIfTrue="1" operator="greaterThan">
      <formula>36</formula>
    </cfRule>
  </conditionalFormatting>
  <conditionalFormatting sqref="J35">
    <cfRule type="cellIs" dxfId="7" priority="5" stopIfTrue="1" operator="greaterThan">
      <formula>0</formula>
    </cfRule>
  </conditionalFormatting>
  <conditionalFormatting sqref="D30">
    <cfRule type="cellIs" dxfId="6" priority="6" stopIfTrue="1" operator="notBetween">
      <formula>10</formula>
      <formula>900</formula>
    </cfRule>
  </conditionalFormatting>
  <conditionalFormatting sqref="D32">
    <cfRule type="cellIs" dxfId="5" priority="7" stopIfTrue="1" operator="between">
      <formula>30</formula>
      <formula>280</formula>
    </cfRule>
    <cfRule type="cellIs" dxfId="4" priority="8" stopIfTrue="1" operator="notBetween">
      <formula>30</formula>
      <formula>280</formula>
    </cfRule>
  </conditionalFormatting>
  <conditionalFormatting sqref="D37">
    <cfRule type="cellIs" dxfId="3" priority="9" stopIfTrue="1" operator="notBetween">
      <formula>25</formula>
      <formula>150</formula>
    </cfRule>
  </conditionalFormatting>
  <conditionalFormatting sqref="D35">
    <cfRule type="cellIs" dxfId="2" priority="10" stopIfTrue="1" operator="notBetween">
      <formula>20</formula>
      <formula>600</formula>
    </cfRule>
  </conditionalFormatting>
  <dataValidations count="5">
    <dataValidation allowBlank="1" showInputMessage="1" showErrorMessage="1" promptTitle="Total time of use;" prompt="The time of use, INCLUDING the standard time of use which is 2 weeks as per standard rating conditions." sqref="WVL98305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xr:uid="{00000000-0002-0000-0700-000000000000}"/>
    <dataValidation type="custom" showInputMessage="1" showErrorMessage="1" errorTitle="Note:" error="Source is linked to input on sheet [Life cycle costing] so can't be modified here." sqref="D7:D10" xr:uid="{00000000-0002-0000-0700-000001000000}">
      <formula1>0</formula1>
    </dataValidation>
    <dataValidation type="custom" showInputMessage="1" showErrorMessage="1" errorTitle="Nota bene!" error="De inhoud is afgeschermd tegen wijzigingen om onbedoelde effecten in de formules tegen te gaan." sqref="D13 D40 J8:J10 D36 D15 D38" xr:uid="{00000000-0002-0000-0700-000004000000}">
      <formula1>0</formula1>
    </dataValidation>
    <dataValidation allowBlank="1" showInputMessage="1" showErrorMessage="1" promptTitle="Insulation thickness" prompt="The color displays wether the thickness is within the range of data as per enclosed reference table. Green: OK. Red: NOK." sqref="D32" xr:uid="{00000000-0002-0000-0700-000007000000}"/>
    <dataValidation type="custom" showInputMessage="1" showErrorMessage="1" errorTitle="Nota bene!" error="De inhoud is afgeschermd tegen wijzigingen om onbedoelde effecten in de formules tegen te gaan." promptTitle="Color" prompt="In case of the cell becoming red, the thickness is beyond the range as provided by the reference table." sqref="D37" xr:uid="{00000000-0002-0000-0700-000008000000}">
      <formula1>0</formula1>
    </dataValidation>
  </dataValidations>
  <printOptions horizontalCentered="1" verticalCentered="1"/>
  <pageMargins left="0.23622047244094491" right="0.15748031496062992" top="0.27559055118110237" bottom="0.19685039370078741" header="0.19685039370078741" footer="0.15748031496062992"/>
  <pageSetup paperSize="9" scale="88" orientation="portrait" r:id="rId1"/>
  <headerFooter alignWithMargins="0">
    <oddFooter>&amp;C&amp;A  &amp;F&amp;R&amp;D</oddFooter>
  </headerFooter>
  <ignoredErrors>
    <ignoredError sqref="F35:F37 F30:F32" numberStoredAsText="1"/>
    <ignoredError sqref="D38"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E6E6E6"/>
  </sheetPr>
  <dimension ref="A1:X65"/>
  <sheetViews>
    <sheetView topLeftCell="A31" zoomScale="85" zoomScaleNormal="85" workbookViewId="0">
      <selection activeCell="O45" sqref="O45"/>
    </sheetView>
  </sheetViews>
  <sheetFormatPr defaultColWidth="0" defaultRowHeight="12.75" zeroHeight="1"/>
  <cols>
    <col min="1" max="1" width="7" style="78" customWidth="1"/>
    <col min="2" max="2" width="11" style="78" customWidth="1"/>
    <col min="3" max="23" width="8" style="78" customWidth="1"/>
    <col min="24" max="24" width="6.28515625" style="78" customWidth="1"/>
    <col min="25" max="16384" width="9.140625" style="78" hidden="1"/>
  </cols>
  <sheetData>
    <row r="1" spans="1:24">
      <c r="A1" s="141" t="s">
        <v>378</v>
      </c>
      <c r="I1" s="141" t="s">
        <v>379</v>
      </c>
      <c r="M1" s="79"/>
      <c r="T1" s="324"/>
      <c r="U1" s="324"/>
      <c r="V1" s="324"/>
      <c r="W1" s="324"/>
      <c r="X1" s="324"/>
    </row>
    <row r="2" spans="1:24">
      <c r="I2" s="140" t="s">
        <v>380</v>
      </c>
      <c r="T2" s="324"/>
      <c r="U2" s="324"/>
      <c r="V2" s="324"/>
      <c r="W2" s="324"/>
      <c r="X2" s="324"/>
    </row>
    <row r="3" spans="1:24">
      <c r="L3" s="128"/>
      <c r="T3" s="324"/>
      <c r="U3" s="324"/>
      <c r="V3" s="324"/>
      <c r="W3" s="324"/>
      <c r="X3" s="324"/>
    </row>
    <row r="4" spans="1:24">
      <c r="B4" s="132" t="s">
        <v>357</v>
      </c>
      <c r="C4" s="131"/>
      <c r="D4" s="131"/>
      <c r="T4" s="324"/>
      <c r="U4" s="324"/>
      <c r="V4" s="324"/>
      <c r="W4" s="324"/>
      <c r="X4" s="324"/>
    </row>
    <row r="5" spans="1:24" ht="15">
      <c r="B5" s="130"/>
      <c r="C5" s="127" t="s">
        <v>381</v>
      </c>
      <c r="D5" s="201">
        <v>500</v>
      </c>
      <c r="E5" s="437" t="s">
        <v>382</v>
      </c>
      <c r="F5" s="437"/>
      <c r="G5" s="437"/>
      <c r="H5" s="437"/>
      <c r="I5" s="139">
        <f>MATCH(D5,B11:B35)</f>
        <v>19</v>
      </c>
      <c r="J5" s="125"/>
      <c r="K5" s="125"/>
      <c r="L5" s="125"/>
      <c r="M5" s="125"/>
      <c r="N5" s="125"/>
      <c r="O5" s="125"/>
      <c r="P5" s="125"/>
      <c r="Q5" s="125"/>
      <c r="R5" s="125"/>
      <c r="S5" s="125"/>
      <c r="T5" s="326"/>
      <c r="U5" s="326"/>
      <c r="V5" s="326"/>
      <c r="W5" s="324"/>
      <c r="X5" s="324"/>
    </row>
    <row r="6" spans="1:24" ht="15">
      <c r="B6" s="130"/>
      <c r="C6" s="127" t="s">
        <v>383</v>
      </c>
      <c r="D6" s="201">
        <v>70</v>
      </c>
      <c r="E6" s="437" t="s">
        <v>384</v>
      </c>
      <c r="F6" s="437"/>
      <c r="G6" s="437"/>
      <c r="H6" s="437"/>
      <c r="I6" s="139">
        <f>MATCH(D6,C10:W10)</f>
        <v>5</v>
      </c>
      <c r="J6" s="125"/>
      <c r="K6" s="125"/>
      <c r="L6" s="125"/>
      <c r="M6" s="125"/>
      <c r="N6" s="125"/>
      <c r="O6" s="125"/>
      <c r="P6" s="125"/>
      <c r="Q6" s="125"/>
      <c r="R6" s="125"/>
      <c r="S6" s="125"/>
      <c r="T6" s="326"/>
      <c r="U6" s="326"/>
      <c r="V6" s="326"/>
      <c r="W6" s="324"/>
      <c r="X6" s="324"/>
    </row>
    <row r="7" spans="1:24" ht="15">
      <c r="B7" s="130"/>
      <c r="C7" s="127" t="s">
        <v>385</v>
      </c>
      <c r="D7" s="435">
        <f>INDEX($C$11:$W$35,I5,I6)</f>
        <v>63.529230252619449</v>
      </c>
      <c r="E7" s="436"/>
      <c r="F7" s="138"/>
      <c r="G7" s="138"/>
      <c r="H7" s="138"/>
      <c r="I7" s="137"/>
      <c r="J7" s="125"/>
      <c r="K7" s="125"/>
      <c r="L7" s="125"/>
      <c r="M7" s="125"/>
      <c r="N7" s="125"/>
      <c r="O7" s="125"/>
      <c r="P7" s="125"/>
      <c r="Q7" s="125"/>
      <c r="R7" s="125"/>
      <c r="S7" s="125"/>
      <c r="T7" s="326"/>
      <c r="U7" s="326"/>
      <c r="V7" s="326"/>
      <c r="W7" s="324"/>
      <c r="X7" s="324"/>
    </row>
    <row r="8" spans="1:24" ht="15">
      <c r="A8" s="130"/>
      <c r="B8" s="130"/>
      <c r="C8" s="136"/>
      <c r="D8" s="136"/>
      <c r="E8" s="130"/>
      <c r="F8" s="135"/>
      <c r="G8" s="135"/>
      <c r="H8" s="135"/>
      <c r="I8" s="135"/>
      <c r="J8" s="130"/>
      <c r="K8" s="125"/>
      <c r="L8" s="125"/>
      <c r="M8" s="125"/>
      <c r="N8" s="125"/>
      <c r="O8" s="125"/>
      <c r="P8" s="125"/>
      <c r="Q8" s="125"/>
      <c r="R8" s="125"/>
      <c r="S8" s="125"/>
      <c r="T8" s="326"/>
      <c r="U8" s="326"/>
      <c r="V8" s="326"/>
      <c r="W8" s="326"/>
      <c r="X8" s="324"/>
    </row>
    <row r="9" spans="1:24" ht="15">
      <c r="A9" s="123"/>
      <c r="B9" s="125"/>
      <c r="C9" s="126" t="s">
        <v>386</v>
      </c>
      <c r="D9" s="125"/>
      <c r="E9" s="125"/>
      <c r="F9" s="125"/>
      <c r="G9" s="125"/>
      <c r="H9" s="125"/>
      <c r="I9" s="125"/>
      <c r="J9" s="125"/>
      <c r="K9" s="125"/>
      <c r="L9" s="125"/>
      <c r="M9" s="125"/>
      <c r="N9" s="125"/>
      <c r="O9" s="125"/>
      <c r="P9" s="125"/>
      <c r="Q9" s="125"/>
      <c r="R9" s="125"/>
      <c r="S9" s="125"/>
      <c r="T9" s="125"/>
      <c r="U9" s="125"/>
      <c r="V9" s="125"/>
      <c r="W9" s="125"/>
    </row>
    <row r="10" spans="1:24" ht="15.75" thickBot="1">
      <c r="A10" s="123"/>
      <c r="B10" s="172" t="s">
        <v>387</v>
      </c>
      <c r="C10" s="124">
        <v>30</v>
      </c>
      <c r="D10" s="124">
        <v>40</v>
      </c>
      <c r="E10" s="124">
        <v>50</v>
      </c>
      <c r="F10" s="124">
        <v>60</v>
      </c>
      <c r="G10" s="124">
        <v>70</v>
      </c>
      <c r="H10" s="124">
        <v>80</v>
      </c>
      <c r="I10" s="124">
        <v>100</v>
      </c>
      <c r="J10" s="124">
        <v>120</v>
      </c>
      <c r="K10" s="124">
        <v>130</v>
      </c>
      <c r="L10" s="124">
        <v>140</v>
      </c>
      <c r="M10" s="124">
        <v>150</v>
      </c>
      <c r="N10" s="124">
        <v>180</v>
      </c>
      <c r="O10" s="124">
        <v>190</v>
      </c>
      <c r="P10" s="124">
        <v>200</v>
      </c>
      <c r="Q10" s="124">
        <v>220</v>
      </c>
      <c r="R10" s="124">
        <v>230</v>
      </c>
      <c r="S10" s="124">
        <v>240</v>
      </c>
      <c r="T10" s="124">
        <v>250</v>
      </c>
      <c r="U10" s="124">
        <v>260</v>
      </c>
      <c r="V10" s="124">
        <v>270</v>
      </c>
      <c r="W10" s="124">
        <v>280</v>
      </c>
    </row>
    <row r="11" spans="1:24" ht="15">
      <c r="A11" s="123"/>
      <c r="B11" s="122">
        <v>10</v>
      </c>
      <c r="C11" s="121">
        <v>12.70584605052389</v>
      </c>
      <c r="D11" s="121">
        <v>14.974747130974585</v>
      </c>
      <c r="E11" s="121">
        <v>16.336087779245002</v>
      </c>
      <c r="F11" s="121">
        <v>18.604988859695695</v>
      </c>
      <c r="G11" s="121">
        <v>21.327670156236529</v>
      </c>
      <c r="H11" s="121">
        <v>23.142791020597084</v>
      </c>
      <c r="I11" s="121">
        <v>27.226812965408335</v>
      </c>
      <c r="J11" s="121">
        <v>32.672175558490004</v>
      </c>
      <c r="K11" s="121"/>
      <c r="L11" s="121"/>
      <c r="M11" s="121"/>
      <c r="N11" s="121"/>
      <c r="O11" s="121"/>
      <c r="P11" s="121"/>
      <c r="Q11" s="121"/>
      <c r="R11" s="121"/>
      <c r="S11" s="121"/>
      <c r="T11" s="121"/>
      <c r="U11" s="121"/>
      <c r="V11" s="121"/>
      <c r="W11" s="121"/>
    </row>
    <row r="12" spans="1:24" ht="15">
      <c r="A12" s="123"/>
      <c r="B12" s="122">
        <v>15</v>
      </c>
      <c r="C12" s="121">
        <v>13.159626266614028</v>
      </c>
      <c r="D12" s="121">
        <v>15.428527347064723</v>
      </c>
      <c r="E12" s="121">
        <v>16.78986799533514</v>
      </c>
      <c r="F12" s="121">
        <v>19.058769075785833</v>
      </c>
      <c r="G12" s="121">
        <v>21.327670156236529</v>
      </c>
      <c r="H12" s="121">
        <v>23.142791020597084</v>
      </c>
      <c r="I12" s="121">
        <v>27.680593181498473</v>
      </c>
      <c r="J12" s="121">
        <v>33.125955774580142</v>
      </c>
      <c r="K12" s="121">
        <v>37.663757935481527</v>
      </c>
      <c r="L12" s="121"/>
      <c r="M12" s="121"/>
      <c r="N12" s="121"/>
      <c r="O12" s="121"/>
      <c r="P12" s="121"/>
      <c r="Q12" s="121"/>
      <c r="R12" s="121"/>
      <c r="S12" s="121"/>
      <c r="T12" s="121"/>
      <c r="U12" s="121"/>
      <c r="V12" s="121"/>
      <c r="W12" s="121"/>
    </row>
    <row r="13" spans="1:24" ht="15">
      <c r="A13" s="123"/>
      <c r="B13" s="122">
        <v>20</v>
      </c>
      <c r="C13" s="121">
        <v>13.613406482704168</v>
      </c>
      <c r="D13" s="121">
        <v>15.428527347064723</v>
      </c>
      <c r="E13" s="121">
        <v>17.243648211425278</v>
      </c>
      <c r="F13" s="121">
        <v>19.512549291875974</v>
      </c>
      <c r="G13" s="121">
        <v>21.781450372326667</v>
      </c>
      <c r="H13" s="121">
        <v>23.596571236687222</v>
      </c>
      <c r="I13" s="121">
        <v>28.134373397588611</v>
      </c>
      <c r="J13" s="121">
        <v>33.579735990670279</v>
      </c>
      <c r="K13" s="121">
        <v>39.025098583751948</v>
      </c>
      <c r="L13" s="121">
        <v>40.840219448112499</v>
      </c>
      <c r="M13" s="121"/>
      <c r="N13" s="121"/>
      <c r="O13" s="121"/>
      <c r="P13" s="121"/>
      <c r="Q13" s="121"/>
      <c r="R13" s="121"/>
      <c r="S13" s="121"/>
      <c r="T13" s="121"/>
      <c r="U13" s="121"/>
      <c r="V13" s="121"/>
      <c r="W13" s="121"/>
    </row>
    <row r="14" spans="1:24" ht="15">
      <c r="A14" s="123"/>
      <c r="B14" s="122">
        <v>25</v>
      </c>
      <c r="C14" s="121">
        <v>14.067186698794305</v>
      </c>
      <c r="D14" s="121">
        <v>15.882307563154862</v>
      </c>
      <c r="E14" s="121">
        <v>17.243648211425278</v>
      </c>
      <c r="F14" s="121">
        <v>19.966329507966112</v>
      </c>
      <c r="G14" s="121">
        <v>22.235230588416808</v>
      </c>
      <c r="H14" s="121">
        <v>24.050351452777363</v>
      </c>
      <c r="I14" s="121">
        <v>29.04193382976889</v>
      </c>
      <c r="J14" s="121">
        <v>34.487296422850555</v>
      </c>
      <c r="K14" s="121">
        <v>40.386439232022362</v>
      </c>
      <c r="L14" s="121">
        <v>43.109120528563196</v>
      </c>
      <c r="M14" s="121">
        <v>45.83180182510403</v>
      </c>
      <c r="N14" s="121"/>
      <c r="O14" s="121"/>
      <c r="P14" s="121"/>
      <c r="Q14" s="121"/>
      <c r="R14" s="121"/>
      <c r="S14" s="121"/>
      <c r="T14" s="121"/>
      <c r="U14" s="121"/>
      <c r="V14" s="121"/>
      <c r="W14" s="121"/>
    </row>
    <row r="15" spans="1:24" ht="15">
      <c r="A15" s="123"/>
      <c r="B15" s="122">
        <v>40</v>
      </c>
      <c r="C15" s="121">
        <v>15.428527347064723</v>
      </c>
      <c r="D15" s="121">
        <v>16.78986799533514</v>
      </c>
      <c r="E15" s="121">
        <v>18.151208643605557</v>
      </c>
      <c r="F15" s="121">
        <v>21.327670156236529</v>
      </c>
      <c r="G15" s="121">
        <v>24.050351452777363</v>
      </c>
      <c r="H15" s="121">
        <v>25.865472317137918</v>
      </c>
      <c r="I15" s="121">
        <v>30.403274478039307</v>
      </c>
      <c r="J15" s="121">
        <v>35.394856855030838</v>
      </c>
      <c r="K15" s="121">
        <v>41.747779880292782</v>
      </c>
      <c r="L15" s="121">
        <v>43.562900744653334</v>
      </c>
      <c r="M15" s="121">
        <v>47.193142473374444</v>
      </c>
      <c r="N15" s="121">
        <v>49.008263337735002</v>
      </c>
      <c r="O15" s="121"/>
      <c r="P15" s="121"/>
      <c r="Q15" s="121"/>
      <c r="R15" s="121"/>
      <c r="S15" s="121"/>
      <c r="T15" s="121"/>
      <c r="U15" s="121"/>
      <c r="V15" s="121"/>
      <c r="W15" s="121"/>
    </row>
    <row r="16" spans="1:24" ht="15">
      <c r="A16" s="123"/>
      <c r="B16" s="122">
        <v>50</v>
      </c>
      <c r="C16" s="121">
        <v>16.336087779245002</v>
      </c>
      <c r="D16" s="121">
        <v>17.243648211425278</v>
      </c>
      <c r="E16" s="121">
        <v>19.512549291875974</v>
      </c>
      <c r="F16" s="121">
        <v>22.689010804506946</v>
      </c>
      <c r="G16" s="121">
        <v>25.41169210104778</v>
      </c>
      <c r="H16" s="121">
        <v>27.226812965408335</v>
      </c>
      <c r="I16" s="121">
        <v>31.764615126309725</v>
      </c>
      <c r="J16" s="121">
        <v>36.756197503301252</v>
      </c>
      <c r="K16" s="121">
        <v>43.562900744653334</v>
      </c>
      <c r="L16" s="121">
        <v>48.100702905554726</v>
      </c>
      <c r="M16" s="121">
        <v>52.184724850365974</v>
      </c>
      <c r="N16" s="121">
        <v>53.546065498636395</v>
      </c>
      <c r="O16" s="121">
        <v>57.176307227357505</v>
      </c>
      <c r="P16" s="121"/>
      <c r="Q16" s="121"/>
      <c r="R16" s="121"/>
      <c r="S16" s="121"/>
      <c r="T16" s="121"/>
      <c r="U16" s="121"/>
      <c r="V16" s="121"/>
      <c r="W16" s="121"/>
    </row>
    <row r="17" spans="1:23" ht="15">
      <c r="A17" s="123"/>
      <c r="B17" s="122">
        <v>65</v>
      </c>
      <c r="C17" s="121">
        <v>17.243648211425278</v>
      </c>
      <c r="D17" s="121">
        <v>18.151208643605557</v>
      </c>
      <c r="E17" s="121">
        <v>19.966329507966112</v>
      </c>
      <c r="F17" s="121">
        <v>23.142791020597084</v>
      </c>
      <c r="G17" s="121">
        <v>25.865472317137918</v>
      </c>
      <c r="H17" s="121">
        <v>28.134373397588611</v>
      </c>
      <c r="I17" s="121">
        <v>32.218395342399866</v>
      </c>
      <c r="J17" s="121">
        <v>37.663757935481527</v>
      </c>
      <c r="K17" s="121">
        <v>44.470461176833616</v>
      </c>
      <c r="L17" s="121">
        <v>49.008263337735002</v>
      </c>
      <c r="M17" s="121">
        <v>53.546065498636395</v>
      </c>
      <c r="N17" s="121">
        <v>55.361186362996946</v>
      </c>
      <c r="O17" s="121">
        <v>58.991428091718056</v>
      </c>
      <c r="P17" s="121">
        <v>62.167889604349028</v>
      </c>
      <c r="Q17" s="121"/>
      <c r="R17" s="121"/>
      <c r="S17" s="121"/>
      <c r="T17" s="121"/>
      <c r="U17" s="121"/>
      <c r="V17" s="121"/>
      <c r="W17" s="121"/>
    </row>
    <row r="18" spans="1:23" ht="15">
      <c r="A18" s="123"/>
      <c r="B18" s="122">
        <v>70</v>
      </c>
      <c r="C18" s="121">
        <v>17.243648211425278</v>
      </c>
      <c r="D18" s="121">
        <v>19.058769075785833</v>
      </c>
      <c r="E18" s="121">
        <v>20.42010972405625</v>
      </c>
      <c r="F18" s="121">
        <v>23.596571236687222</v>
      </c>
      <c r="G18" s="121">
        <v>26.319252533228056</v>
      </c>
      <c r="H18" s="121">
        <v>28.588153613678752</v>
      </c>
      <c r="I18" s="121">
        <v>33.125955774580142</v>
      </c>
      <c r="J18" s="121">
        <v>38.117538151571665</v>
      </c>
      <c r="K18" s="121">
        <v>45.378021609013892</v>
      </c>
      <c r="L18" s="121">
        <v>50.369603986005416</v>
      </c>
      <c r="M18" s="121">
        <v>53.999845714726533</v>
      </c>
      <c r="N18" s="121">
        <v>56.722527011267367</v>
      </c>
      <c r="O18" s="121">
        <v>61.71410938825889</v>
      </c>
      <c r="P18" s="121">
        <v>64.436790684799732</v>
      </c>
      <c r="Q18" s="121">
        <v>66.705691765250421</v>
      </c>
      <c r="R18" s="121"/>
      <c r="S18" s="121"/>
      <c r="T18" s="121"/>
      <c r="U18" s="121"/>
      <c r="V18" s="121"/>
      <c r="W18" s="121"/>
    </row>
    <row r="19" spans="1:23" ht="15">
      <c r="A19" s="123"/>
      <c r="B19" s="122">
        <v>80</v>
      </c>
      <c r="C19" s="121">
        <v>18.151208643605557</v>
      </c>
      <c r="D19" s="121">
        <v>19.966329507966112</v>
      </c>
      <c r="E19" s="121">
        <v>21.781450372326667</v>
      </c>
      <c r="F19" s="121">
        <v>24.504131668867501</v>
      </c>
      <c r="G19" s="121">
        <v>27.226812965408335</v>
      </c>
      <c r="H19" s="121">
        <v>29.495714045859028</v>
      </c>
      <c r="I19" s="121">
        <v>34.487296422850555</v>
      </c>
      <c r="J19" s="121">
        <v>38.117538151571665</v>
      </c>
      <c r="K19" s="121">
        <v>45.83180182510403</v>
      </c>
      <c r="L19" s="121">
        <v>51.277164418185698</v>
      </c>
      <c r="M19" s="121">
        <v>54.907406146906808</v>
      </c>
      <c r="N19" s="121">
        <v>58.537647875627918</v>
      </c>
      <c r="O19" s="121">
        <v>64.436790684799732</v>
      </c>
      <c r="P19" s="121">
        <v>66.705691765250421</v>
      </c>
      <c r="Q19" s="121">
        <v>69.882153277881386</v>
      </c>
      <c r="R19" s="121">
        <v>73.058614790512365</v>
      </c>
      <c r="S19" s="121"/>
      <c r="T19" s="121"/>
      <c r="U19" s="121"/>
      <c r="V19" s="121"/>
      <c r="W19" s="121"/>
    </row>
    <row r="20" spans="1:23" ht="15">
      <c r="A20" s="123"/>
      <c r="B20" s="122">
        <v>100</v>
      </c>
      <c r="C20" s="121">
        <v>20.42010972405625</v>
      </c>
      <c r="D20" s="121">
        <v>21.327670156236529</v>
      </c>
      <c r="E20" s="121">
        <v>24.050351452777363</v>
      </c>
      <c r="F20" s="121">
        <v>26.319252533228056</v>
      </c>
      <c r="G20" s="121">
        <v>29.04193382976889</v>
      </c>
      <c r="H20" s="121">
        <v>31.310834910219583</v>
      </c>
      <c r="I20" s="121">
        <v>36.756197503301252</v>
      </c>
      <c r="J20" s="121">
        <v>42.655340312473058</v>
      </c>
      <c r="K20" s="121">
        <v>48.554483121644864</v>
      </c>
      <c r="L20" s="121">
        <v>54.453625930816671</v>
      </c>
      <c r="M20" s="121">
        <v>57.630087443447643</v>
      </c>
      <c r="N20" s="121">
        <v>61.71410938825889</v>
      </c>
      <c r="O20" s="121">
        <v>69.428373061791248</v>
      </c>
      <c r="P20" s="121">
        <v>72.604834574422227</v>
      </c>
      <c r="Q20" s="121">
        <v>75.781296087053192</v>
      </c>
      <c r="R20" s="121">
        <v>77.596416951413758</v>
      </c>
      <c r="S20" s="121">
        <v>81.680438896224999</v>
      </c>
      <c r="T20" s="121"/>
      <c r="U20" s="121"/>
      <c r="V20" s="121"/>
      <c r="W20" s="121"/>
    </row>
    <row r="21" spans="1:23" ht="15">
      <c r="A21" s="123"/>
      <c r="B21" s="122">
        <v>125</v>
      </c>
      <c r="C21" s="121">
        <v>21.327670156236529</v>
      </c>
      <c r="D21" s="121">
        <v>23.142791020597084</v>
      </c>
      <c r="E21" s="121">
        <v>25.865472317137918</v>
      </c>
      <c r="F21" s="121">
        <v>28.588153613678752</v>
      </c>
      <c r="G21" s="121">
        <v>31.310834910219583</v>
      </c>
      <c r="H21" s="121">
        <v>33.579735990670279</v>
      </c>
      <c r="I21" s="121">
        <v>39.478878799842086</v>
      </c>
      <c r="J21" s="121">
        <v>45.378021609013892</v>
      </c>
      <c r="K21" s="121">
        <v>51.277164418185698</v>
      </c>
      <c r="L21" s="121">
        <v>57.176307227357505</v>
      </c>
      <c r="M21" s="121">
        <v>60.806548956078615</v>
      </c>
      <c r="N21" s="121">
        <v>64.89057090088987</v>
      </c>
      <c r="O21" s="121">
        <v>72.604834574422227</v>
      </c>
      <c r="P21" s="121">
        <v>75.327515870963055</v>
      </c>
      <c r="Q21" s="121">
        <v>78.503977383594034</v>
      </c>
      <c r="R21" s="121">
        <v>82.134219112315137</v>
      </c>
      <c r="S21" s="121">
        <v>87.125801489306667</v>
      </c>
      <c r="T21" s="121">
        <v>95.293845378929177</v>
      </c>
      <c r="U21" s="121"/>
      <c r="V21" s="121"/>
      <c r="W21" s="121"/>
    </row>
    <row r="22" spans="1:23" ht="15">
      <c r="A22" s="123"/>
      <c r="B22" s="122">
        <v>150</v>
      </c>
      <c r="C22" s="121">
        <v>22.689010804506946</v>
      </c>
      <c r="D22" s="121">
        <v>24.957911884957639</v>
      </c>
      <c r="E22" s="121">
        <v>27.680593181498473</v>
      </c>
      <c r="F22" s="121">
        <v>30.403274478039307</v>
      </c>
      <c r="G22" s="121">
        <v>33.579735990670279</v>
      </c>
      <c r="H22" s="121">
        <v>35.848637071120976</v>
      </c>
      <c r="I22" s="121">
        <v>42.20156009638292</v>
      </c>
      <c r="J22" s="121">
        <v>48.100702905554726</v>
      </c>
      <c r="K22" s="121">
        <v>54.453625930816671</v>
      </c>
      <c r="L22" s="121">
        <v>60.352768739988477</v>
      </c>
      <c r="M22" s="121">
        <v>63.983010468709587</v>
      </c>
      <c r="N22" s="121">
        <v>68.067032413520835</v>
      </c>
      <c r="O22" s="121">
        <v>76.23507630314333</v>
      </c>
      <c r="P22" s="121">
        <v>78.050197167503896</v>
      </c>
      <c r="Q22" s="121">
        <v>83.041779544495427</v>
      </c>
      <c r="R22" s="121">
        <v>86.672021273216529</v>
      </c>
      <c r="S22" s="121">
        <v>92.117383866298198</v>
      </c>
      <c r="T22" s="121">
        <v>100.28542775592069</v>
      </c>
      <c r="U22" s="121">
        <v>108.90725186163334</v>
      </c>
      <c r="V22" s="121"/>
      <c r="W22" s="121"/>
    </row>
    <row r="23" spans="1:23" ht="15">
      <c r="A23" s="123"/>
      <c r="B23" s="122">
        <v>200</v>
      </c>
      <c r="C23" s="121">
        <v>27.226812965408335</v>
      </c>
      <c r="D23" s="121">
        <v>28.588153613678752</v>
      </c>
      <c r="E23" s="121">
        <v>30.403274478039307</v>
      </c>
      <c r="F23" s="121">
        <v>34.033516206760417</v>
      </c>
      <c r="G23" s="121">
        <v>38.117538151571665</v>
      </c>
      <c r="H23" s="121">
        <v>40.386439232022362</v>
      </c>
      <c r="I23" s="121">
        <v>46.739362257284306</v>
      </c>
      <c r="J23" s="121">
        <v>53.546065498636395</v>
      </c>
      <c r="K23" s="121">
        <v>56.268746795177222</v>
      </c>
      <c r="L23" s="121">
        <v>66.251911549160283</v>
      </c>
      <c r="M23" s="121">
        <v>70.335933493971538</v>
      </c>
      <c r="N23" s="121">
        <v>74.873735654872917</v>
      </c>
      <c r="O23" s="121">
        <v>79.411537815774309</v>
      </c>
      <c r="P23" s="121">
        <v>84.856900408855978</v>
      </c>
      <c r="Q23" s="121">
        <v>87.579581705396805</v>
      </c>
      <c r="R23" s="121">
        <v>90.302263001937646</v>
      </c>
      <c r="S23" s="121">
        <v>97.562746459379866</v>
      </c>
      <c r="T23" s="121">
        <v>105.27701013291222</v>
      </c>
      <c r="U23" s="121">
        <v>117.07529575125584</v>
      </c>
      <c r="V23" s="121">
        <v>123.42821877651778</v>
      </c>
      <c r="W23" s="121"/>
    </row>
    <row r="24" spans="1:23" ht="15">
      <c r="A24" s="123"/>
      <c r="B24" s="122">
        <v>250</v>
      </c>
      <c r="C24" s="121">
        <v>29.495714045859028</v>
      </c>
      <c r="D24" s="121">
        <v>32.218395342399866</v>
      </c>
      <c r="E24" s="121">
        <v>34.487296422850555</v>
      </c>
      <c r="F24" s="121">
        <v>39.025098583751948</v>
      </c>
      <c r="G24" s="121">
        <v>42.20156009638292</v>
      </c>
      <c r="H24" s="121">
        <v>44.470461176833616</v>
      </c>
      <c r="I24" s="121">
        <v>52.184724850365974</v>
      </c>
      <c r="J24" s="121">
        <v>58.991428091718056</v>
      </c>
      <c r="K24" s="121">
        <v>61.71410938825889</v>
      </c>
      <c r="L24" s="121">
        <v>72.604834574422227</v>
      </c>
      <c r="M24" s="121">
        <v>77.14263673532362</v>
      </c>
      <c r="N24" s="121">
        <v>81.680438896224999</v>
      </c>
      <c r="O24" s="121">
        <v>86.672021273216529</v>
      </c>
      <c r="P24" s="121">
        <v>92.117383866298198</v>
      </c>
      <c r="Q24" s="121">
        <v>97.108966243289728</v>
      </c>
      <c r="R24" s="121">
        <v>103.46188926855167</v>
      </c>
      <c r="S24" s="121">
        <v>110.26859250990375</v>
      </c>
      <c r="T24" s="121">
        <v>117.52907596734597</v>
      </c>
      <c r="U24" s="121">
        <v>124.78955942478819</v>
      </c>
      <c r="V24" s="121">
        <v>132.9576033144107</v>
      </c>
      <c r="W24" s="121">
        <v>141.57942742012335</v>
      </c>
    </row>
    <row r="25" spans="1:23" ht="15">
      <c r="A25" s="123"/>
      <c r="B25" s="122">
        <v>300</v>
      </c>
      <c r="C25" s="121">
        <v>33.579735990670279</v>
      </c>
      <c r="D25" s="121">
        <v>34.941076638940693</v>
      </c>
      <c r="E25" s="121">
        <v>37.663757935481527</v>
      </c>
      <c r="F25" s="121">
        <v>42.20156009638292</v>
      </c>
      <c r="G25" s="121">
        <v>46.285582041194168</v>
      </c>
      <c r="H25" s="121">
        <v>49.008263337735002</v>
      </c>
      <c r="I25" s="121">
        <v>56.722527011267367</v>
      </c>
      <c r="J25" s="121">
        <v>63.983010468709587</v>
      </c>
      <c r="K25" s="121">
        <v>66.705691765250421</v>
      </c>
      <c r="L25" s="121">
        <v>78.957757599684172</v>
      </c>
      <c r="M25" s="121">
        <v>83.949339976675702</v>
      </c>
      <c r="N25" s="121">
        <v>90.756043218027784</v>
      </c>
      <c r="O25" s="121">
        <v>93.932504730658749</v>
      </c>
      <c r="P25" s="121">
        <v>97.562746459379866</v>
      </c>
      <c r="Q25" s="121">
        <v>104.36944970073195</v>
      </c>
      <c r="R25" s="121">
        <v>111.17615294208403</v>
      </c>
      <c r="S25" s="121">
        <v>118.43663639952625</v>
      </c>
      <c r="T25" s="121">
        <v>126.15090007305862</v>
      </c>
      <c r="U25" s="121">
        <v>134.31894396268112</v>
      </c>
      <c r="V25" s="121">
        <v>142.94076806839377</v>
      </c>
      <c r="W25" s="121">
        <v>152.47015260628666</v>
      </c>
    </row>
    <row r="26" spans="1:23" ht="15">
      <c r="A26" s="123"/>
      <c r="B26" s="122">
        <v>350</v>
      </c>
      <c r="C26" s="121"/>
      <c r="D26" s="121">
        <v>37.663757935481527</v>
      </c>
      <c r="E26" s="121">
        <v>41.293999664202644</v>
      </c>
      <c r="F26" s="121">
        <v>45.378021609013892</v>
      </c>
      <c r="G26" s="121">
        <v>49.46204355382514</v>
      </c>
      <c r="H26" s="121">
        <v>52.638505066456112</v>
      </c>
      <c r="I26" s="121">
        <v>60.352768739988477</v>
      </c>
      <c r="J26" s="121">
        <v>68.067032413520835</v>
      </c>
      <c r="K26" s="121">
        <v>70.335933493971538</v>
      </c>
      <c r="L26" s="121">
        <v>83.495559760585564</v>
      </c>
      <c r="M26" s="121">
        <v>88.487142137577081</v>
      </c>
      <c r="N26" s="121">
        <v>96.655186027199591</v>
      </c>
      <c r="O26" s="121">
        <v>103.00810905246153</v>
      </c>
      <c r="P26" s="121">
        <v>106.1845705650925</v>
      </c>
      <c r="Q26" s="121">
        <v>113.44505402253473</v>
      </c>
      <c r="R26" s="121">
        <v>120.25175726388682</v>
      </c>
      <c r="S26" s="121">
        <v>128.41980115350933</v>
      </c>
      <c r="T26" s="121">
        <v>136.58784504313181</v>
      </c>
      <c r="U26" s="121">
        <v>145.20966914884445</v>
      </c>
      <c r="V26" s="121">
        <v>155.19283390282752</v>
      </c>
      <c r="W26" s="121">
        <v>165.62977887290072</v>
      </c>
    </row>
    <row r="27" spans="1:23" ht="15">
      <c r="A27" s="123"/>
      <c r="B27" s="122">
        <v>400</v>
      </c>
      <c r="C27" s="121"/>
      <c r="D27" s="121">
        <v>41.747779880292782</v>
      </c>
      <c r="E27" s="121">
        <v>45.378021609013892</v>
      </c>
      <c r="F27" s="121">
        <v>49.915823769915278</v>
      </c>
      <c r="G27" s="121">
        <v>54.453625930816671</v>
      </c>
      <c r="H27" s="121">
        <v>57.630087443447643</v>
      </c>
      <c r="I27" s="121">
        <v>65.344351116980008</v>
      </c>
      <c r="J27" s="121">
        <v>73.512395006602503</v>
      </c>
      <c r="K27" s="121">
        <v>75.327515870963055</v>
      </c>
      <c r="L27" s="121">
        <v>89.848482785847509</v>
      </c>
      <c r="M27" s="121">
        <v>97.108966243289728</v>
      </c>
      <c r="N27" s="121">
        <v>102.10054862028126</v>
      </c>
      <c r="O27" s="121">
        <v>107.99969142945307</v>
      </c>
      <c r="P27" s="121">
        <v>113.44505402253473</v>
      </c>
      <c r="Q27" s="121">
        <v>120.70553747997695</v>
      </c>
      <c r="R27" s="121">
        <v>128.87358136959946</v>
      </c>
      <c r="S27" s="121">
        <v>134.77272417877126</v>
      </c>
      <c r="T27" s="121">
        <v>142.94076806839377</v>
      </c>
      <c r="U27" s="121">
        <v>152.47015260628666</v>
      </c>
      <c r="V27" s="121">
        <v>162.45331736026972</v>
      </c>
      <c r="W27" s="121">
        <v>172.89026233034292</v>
      </c>
    </row>
    <row r="28" spans="1:23" ht="15">
      <c r="A28" s="123"/>
      <c r="B28" s="122">
        <v>450</v>
      </c>
      <c r="C28" s="121"/>
      <c r="D28" s="121">
        <v>45.378021609013892</v>
      </c>
      <c r="E28" s="121">
        <v>49.46204355382514</v>
      </c>
      <c r="F28" s="121">
        <v>53.999845714726533</v>
      </c>
      <c r="G28" s="121">
        <v>58.991428091718056</v>
      </c>
      <c r="H28" s="121">
        <v>62.621669820439166</v>
      </c>
      <c r="I28" s="121">
        <v>70.789713710061676</v>
      </c>
      <c r="J28" s="121">
        <v>78.957757599684172</v>
      </c>
      <c r="K28" s="121">
        <v>81.680438896224999</v>
      </c>
      <c r="L28" s="121">
        <v>96.201405811109453</v>
      </c>
      <c r="M28" s="121">
        <v>101.64676840419112</v>
      </c>
      <c r="N28" s="121">
        <v>112.53749359035444</v>
      </c>
      <c r="O28" s="121">
        <v>118.43663639952625</v>
      </c>
      <c r="P28" s="121">
        <v>124.33577920869806</v>
      </c>
      <c r="Q28" s="121">
        <v>127.0584605052389</v>
      </c>
      <c r="R28" s="121">
        <v>135.68028461095153</v>
      </c>
      <c r="S28" s="121">
        <v>142.48698785230363</v>
      </c>
      <c r="T28" s="121">
        <v>151.56259217410638</v>
      </c>
      <c r="U28" s="121">
        <v>161.54575692808945</v>
      </c>
      <c r="V28" s="121">
        <v>171.52892168207251</v>
      </c>
      <c r="W28" s="121">
        <v>182.87342708432598</v>
      </c>
    </row>
    <row r="29" spans="1:23" ht="15">
      <c r="A29" s="123"/>
      <c r="B29" s="122">
        <v>500</v>
      </c>
      <c r="C29" s="121"/>
      <c r="D29" s="121">
        <v>49.008263337735002</v>
      </c>
      <c r="E29" s="121">
        <v>53.546065498636395</v>
      </c>
      <c r="F29" s="121">
        <v>58.537647875627918</v>
      </c>
      <c r="G29" s="121">
        <v>63.529230252619449</v>
      </c>
      <c r="H29" s="121">
        <v>67.613252197430697</v>
      </c>
      <c r="I29" s="121">
        <v>75.781296087053192</v>
      </c>
      <c r="J29" s="121">
        <v>84.40312019276584</v>
      </c>
      <c r="K29" s="121">
        <v>87.125801489306667</v>
      </c>
      <c r="L29" s="121">
        <v>102.5543288363714</v>
      </c>
      <c r="M29" s="121">
        <v>108.90725186163334</v>
      </c>
      <c r="N29" s="121">
        <v>117.98285618343611</v>
      </c>
      <c r="O29" s="121">
        <v>128.87358136959946</v>
      </c>
      <c r="P29" s="121">
        <v>137.94918569140222</v>
      </c>
      <c r="Q29" s="121">
        <v>143.84832850057404</v>
      </c>
      <c r="R29" s="121">
        <v>152.92393282237683</v>
      </c>
      <c r="S29" s="121">
        <v>163.36087779245</v>
      </c>
      <c r="T29" s="121">
        <v>173.7978227625232</v>
      </c>
      <c r="U29" s="121">
        <v>185.14232816477667</v>
      </c>
      <c r="V29" s="121">
        <v>197.39439399921042</v>
      </c>
      <c r="W29" s="121">
        <v>210.10024004973431</v>
      </c>
    </row>
    <row r="30" spans="1:23" ht="15">
      <c r="A30" s="123"/>
      <c r="B30" s="122">
        <v>550</v>
      </c>
      <c r="C30" s="121"/>
      <c r="D30" s="121">
        <v>53.09228528254625</v>
      </c>
      <c r="E30" s="121">
        <v>57.630087443447643</v>
      </c>
      <c r="F30" s="121">
        <v>62.621669820439166</v>
      </c>
      <c r="G30" s="121">
        <v>68.067032413520835</v>
      </c>
      <c r="H30" s="121">
        <v>72.604834574422227</v>
      </c>
      <c r="I30" s="121">
        <v>80.772878464044723</v>
      </c>
      <c r="J30" s="121">
        <v>89.394702569757371</v>
      </c>
      <c r="K30" s="121">
        <v>97.108966243289728</v>
      </c>
      <c r="L30" s="121">
        <v>113.89883423862487</v>
      </c>
      <c r="M30" s="121">
        <v>120.70553747997695</v>
      </c>
      <c r="N30" s="121">
        <v>131.59626266614029</v>
      </c>
      <c r="O30" s="121">
        <v>142.48698785230363</v>
      </c>
      <c r="P30" s="121">
        <v>151.56259217410638</v>
      </c>
      <c r="Q30" s="121">
        <v>157.00795476718807</v>
      </c>
      <c r="R30" s="121">
        <v>166.99111952117113</v>
      </c>
      <c r="S30" s="121">
        <v>176.97428427515416</v>
      </c>
      <c r="T30" s="121">
        <v>188.31878967740764</v>
      </c>
      <c r="U30" s="121">
        <v>202.38597637620197</v>
      </c>
      <c r="V30" s="121">
        <v>213.27670156236528</v>
      </c>
      <c r="W30" s="121">
        <v>226.43632782897933</v>
      </c>
    </row>
    <row r="31" spans="1:23" ht="15">
      <c r="A31" s="123"/>
      <c r="B31" s="122">
        <v>600</v>
      </c>
      <c r="C31" s="121"/>
      <c r="D31" s="121">
        <v>57.176307227357505</v>
      </c>
      <c r="E31" s="121">
        <v>61.71410938825889</v>
      </c>
      <c r="F31" s="121">
        <v>67.159471981340559</v>
      </c>
      <c r="G31" s="121">
        <v>72.604834574422227</v>
      </c>
      <c r="H31" s="121">
        <v>77.14263673532362</v>
      </c>
      <c r="I31" s="121">
        <v>85.764460841036254</v>
      </c>
      <c r="J31" s="121">
        <v>94.840065162839039</v>
      </c>
      <c r="K31" s="121">
        <v>102.5543288363714</v>
      </c>
      <c r="L31" s="121">
        <v>125.24333964087833</v>
      </c>
      <c r="M31" s="121">
        <v>132.50382309832057</v>
      </c>
      <c r="N31" s="121">
        <v>146.57100979711487</v>
      </c>
      <c r="O31" s="121">
        <v>156.10039433500779</v>
      </c>
      <c r="P31" s="121">
        <v>164.26843822463027</v>
      </c>
      <c r="Q31" s="121">
        <v>168.80624038553168</v>
      </c>
      <c r="R31" s="121">
        <v>179.24318535560488</v>
      </c>
      <c r="S31" s="121">
        <v>191.04147097394849</v>
      </c>
      <c r="T31" s="121">
        <v>203.29353680838224</v>
      </c>
      <c r="U31" s="121">
        <v>216.45316307499627</v>
      </c>
      <c r="V31" s="121">
        <v>230.06656955770043</v>
      </c>
      <c r="W31" s="121">
        <v>245.04131668867501</v>
      </c>
    </row>
    <row r="32" spans="1:23" ht="15">
      <c r="A32" s="123"/>
      <c r="B32" s="122">
        <v>700</v>
      </c>
      <c r="C32" s="121"/>
      <c r="D32" s="121"/>
      <c r="E32" s="121">
        <v>69.882153277881386</v>
      </c>
      <c r="F32" s="121">
        <v>76.23507630314333</v>
      </c>
      <c r="G32" s="121">
        <v>81.680438896224999</v>
      </c>
      <c r="H32" s="121">
        <v>86.218241057126392</v>
      </c>
      <c r="I32" s="121">
        <v>95.747625595019315</v>
      </c>
      <c r="J32" s="121">
        <v>105.73079034900236</v>
      </c>
      <c r="K32" s="121">
        <v>113.44505402253473</v>
      </c>
      <c r="L32" s="121">
        <v>138.8567461235825</v>
      </c>
      <c r="M32" s="121">
        <v>147.93235044538528</v>
      </c>
      <c r="N32" s="121">
        <v>164.72221844072041</v>
      </c>
      <c r="O32" s="121">
        <v>176.06672384297389</v>
      </c>
      <c r="P32" s="121">
        <v>186.04988859695695</v>
      </c>
      <c r="Q32" s="121">
        <v>191.49525119003863</v>
      </c>
      <c r="R32" s="121">
        <v>203.74731702447238</v>
      </c>
      <c r="S32" s="121">
        <v>217.36072350717654</v>
      </c>
      <c r="T32" s="121">
        <v>230.52034977379057</v>
      </c>
      <c r="U32" s="121">
        <v>245.49509690476515</v>
      </c>
      <c r="V32" s="121">
        <v>260.92362425182989</v>
      </c>
      <c r="W32" s="121">
        <v>277.71349224716499</v>
      </c>
    </row>
    <row r="33" spans="1:24" ht="15">
      <c r="A33" s="123"/>
      <c r="B33" s="122">
        <v>750</v>
      </c>
      <c r="C33" s="121"/>
      <c r="D33" s="121"/>
      <c r="E33" s="121">
        <v>73.966175222692641</v>
      </c>
      <c r="F33" s="121">
        <v>80.772878464044723</v>
      </c>
      <c r="G33" s="121">
        <v>86.218241057126392</v>
      </c>
      <c r="H33" s="121">
        <v>90.756043218027784</v>
      </c>
      <c r="I33" s="121">
        <v>100.73920797201083</v>
      </c>
      <c r="J33" s="121">
        <v>111.17615294208403</v>
      </c>
      <c r="K33" s="121">
        <v>118.89041661561639</v>
      </c>
      <c r="L33" s="121">
        <v>145.66344936493459</v>
      </c>
      <c r="M33" s="121">
        <v>155.64661411891765</v>
      </c>
      <c r="N33" s="121">
        <v>173.7978227625232</v>
      </c>
      <c r="O33" s="121">
        <v>186.04988859695695</v>
      </c>
      <c r="P33" s="121">
        <v>196.94061378312028</v>
      </c>
      <c r="Q33" s="121">
        <v>202.8397565922921</v>
      </c>
      <c r="R33" s="121">
        <v>215.99938285890613</v>
      </c>
      <c r="S33" s="121">
        <v>230.52034977379057</v>
      </c>
      <c r="T33" s="121">
        <v>244.13375625649473</v>
      </c>
      <c r="U33" s="121">
        <v>260.01606381964962</v>
      </c>
      <c r="V33" s="121">
        <v>280.88995375979596</v>
      </c>
      <c r="W33" s="121">
        <v>294.04958002641001</v>
      </c>
    </row>
    <row r="34" spans="1:24" ht="15">
      <c r="A34" s="123"/>
      <c r="B34" s="122">
        <v>800</v>
      </c>
      <c r="C34" s="121"/>
      <c r="D34" s="121"/>
      <c r="E34" s="121">
        <v>78.050197167503896</v>
      </c>
      <c r="F34" s="121">
        <v>89.848482785847509</v>
      </c>
      <c r="G34" s="121">
        <v>90.756043218027784</v>
      </c>
      <c r="H34" s="121">
        <v>95.293845378929177</v>
      </c>
      <c r="I34" s="121">
        <v>105.73079034900236</v>
      </c>
      <c r="J34" s="121">
        <v>116.16773531907556</v>
      </c>
      <c r="K34" s="121">
        <v>124.33577920869806</v>
      </c>
      <c r="L34" s="121">
        <v>152.47015260628666</v>
      </c>
      <c r="M34" s="121">
        <v>163.36087779245</v>
      </c>
      <c r="N34" s="121">
        <v>182.87342708432598</v>
      </c>
      <c r="O34" s="121">
        <v>196.03305335094001</v>
      </c>
      <c r="P34" s="121">
        <v>207.83133896928362</v>
      </c>
      <c r="Q34" s="121">
        <v>214.18426199454558</v>
      </c>
      <c r="R34" s="121">
        <v>228.25144869333988</v>
      </c>
      <c r="S34" s="121">
        <v>243.6799760404046</v>
      </c>
      <c r="T34" s="121">
        <v>257.74716273919893</v>
      </c>
      <c r="U34" s="121">
        <v>279.07483289543541</v>
      </c>
      <c r="V34" s="121">
        <v>296.3184811068607</v>
      </c>
      <c r="W34" s="121">
        <v>310.38566780565503</v>
      </c>
    </row>
    <row r="35" spans="1:24" ht="15">
      <c r="A35" s="123"/>
      <c r="B35" s="122">
        <v>900</v>
      </c>
      <c r="C35" s="121"/>
      <c r="D35" s="121"/>
      <c r="E35" s="121">
        <v>86.218241057126392</v>
      </c>
      <c r="F35" s="121">
        <v>94.386284946748887</v>
      </c>
      <c r="G35" s="121">
        <v>99.831647539830556</v>
      </c>
      <c r="H35" s="121">
        <v>104.36944970073195</v>
      </c>
      <c r="I35" s="121">
        <v>115.71395510298542</v>
      </c>
      <c r="J35" s="121">
        <v>127.0584605052389</v>
      </c>
      <c r="K35" s="121">
        <v>135.22650439486139</v>
      </c>
      <c r="L35" s="121">
        <v>166.08355908899085</v>
      </c>
      <c r="M35" s="121">
        <v>178.78940513951474</v>
      </c>
      <c r="N35" s="121">
        <v>201.02463572793152</v>
      </c>
      <c r="O35" s="121">
        <v>214.18426199454558</v>
      </c>
      <c r="P35" s="121">
        <v>229.61278934161029</v>
      </c>
      <c r="Q35" s="121">
        <v>236.8732727990525</v>
      </c>
      <c r="R35" s="121">
        <v>252.75558036220738</v>
      </c>
      <c r="S35" s="121">
        <v>269.99922857363265</v>
      </c>
      <c r="T35" s="121">
        <v>284.06641527242698</v>
      </c>
      <c r="U35" s="121">
        <v>308.11676672520434</v>
      </c>
      <c r="V35" s="121">
        <v>327.17553580099013</v>
      </c>
      <c r="W35" s="121">
        <v>343.05784336414501</v>
      </c>
    </row>
    <row r="36" spans="1:24" ht="15">
      <c r="A36" s="123"/>
      <c r="B36" s="125"/>
      <c r="C36" s="134"/>
      <c r="D36" s="134"/>
      <c r="E36" s="134"/>
      <c r="F36" s="134"/>
      <c r="G36" s="134"/>
      <c r="H36" s="134"/>
      <c r="I36" s="134"/>
      <c r="J36" s="134"/>
      <c r="K36" s="134"/>
      <c r="L36" s="134"/>
      <c r="M36" s="134"/>
      <c r="N36" s="134"/>
      <c r="O36" s="134"/>
      <c r="P36" s="134"/>
      <c r="Q36" s="134"/>
      <c r="R36" s="134"/>
      <c r="S36" s="134"/>
      <c r="T36" s="134"/>
      <c r="U36" s="134"/>
      <c r="V36" s="134"/>
      <c r="W36" s="134"/>
      <c r="X36" s="133"/>
    </row>
    <row r="37" spans="1:24" s="80" customFormat="1">
      <c r="A37" s="78"/>
      <c r="B37" s="78"/>
      <c r="C37" s="78"/>
      <c r="D37" s="78"/>
      <c r="E37" s="78"/>
      <c r="F37" s="78"/>
      <c r="G37" s="78"/>
      <c r="H37" s="78"/>
      <c r="I37" s="78"/>
      <c r="J37" s="78"/>
      <c r="K37" s="324"/>
      <c r="L37" s="324"/>
      <c r="M37" s="324"/>
      <c r="N37" s="120"/>
      <c r="O37" s="120"/>
      <c r="P37" s="120"/>
      <c r="Q37" s="120"/>
      <c r="R37" s="120"/>
      <c r="S37" s="120"/>
      <c r="T37" s="120"/>
      <c r="U37" s="120"/>
      <c r="V37" s="120"/>
      <c r="W37" s="120"/>
      <c r="X37" s="120"/>
    </row>
    <row r="38" spans="1:24" s="80" customFormat="1">
      <c r="A38" s="78"/>
      <c r="B38" s="78"/>
      <c r="C38" s="78"/>
      <c r="D38" s="78"/>
      <c r="E38" s="78"/>
      <c r="F38" s="78"/>
      <c r="G38" s="78"/>
      <c r="H38" s="78"/>
      <c r="I38" s="78"/>
      <c r="J38" s="78"/>
      <c r="K38" s="324"/>
      <c r="L38" s="324"/>
      <c r="M38" s="324"/>
      <c r="N38" s="120"/>
      <c r="O38" s="120"/>
      <c r="P38" s="120"/>
      <c r="Q38" s="120"/>
      <c r="R38" s="120"/>
      <c r="S38" s="120"/>
      <c r="T38" s="120"/>
      <c r="U38" s="120"/>
      <c r="V38" s="120"/>
      <c r="W38" s="120"/>
      <c r="X38" s="120"/>
    </row>
    <row r="39" spans="1:24" s="80" customFormat="1">
      <c r="A39" s="78"/>
      <c r="B39" s="132" t="s">
        <v>364</v>
      </c>
      <c r="C39" s="131"/>
      <c r="D39" s="131"/>
      <c r="E39" s="78"/>
      <c r="F39" s="78"/>
      <c r="G39" s="78"/>
      <c r="H39" s="78"/>
      <c r="I39" s="78"/>
      <c r="J39" s="78"/>
      <c r="K39" s="324"/>
      <c r="L39" s="324"/>
      <c r="M39" s="324"/>
      <c r="N39" s="120"/>
      <c r="O39" s="120"/>
      <c r="P39" s="120"/>
      <c r="Q39" s="120"/>
      <c r="R39" s="120"/>
      <c r="S39" s="120"/>
      <c r="T39" s="120"/>
      <c r="U39" s="120"/>
      <c r="V39" s="120"/>
      <c r="W39" s="120"/>
      <c r="X39" s="120"/>
    </row>
    <row r="40" spans="1:24" s="80" customFormat="1">
      <c r="A40" s="130"/>
      <c r="B40" s="130"/>
      <c r="C40" s="127" t="s">
        <v>381</v>
      </c>
      <c r="D40" s="201">
        <v>250</v>
      </c>
      <c r="E40" s="438" t="s">
        <v>382</v>
      </c>
      <c r="F40" s="438"/>
      <c r="G40" s="438"/>
      <c r="H40" s="438"/>
      <c r="I40" s="129">
        <f>MATCH(D40,B46:B64)</f>
        <v>12</v>
      </c>
      <c r="J40" s="78"/>
      <c r="K40" s="324"/>
      <c r="L40" s="324"/>
      <c r="M40" s="324"/>
      <c r="N40" s="120"/>
      <c r="O40" s="120"/>
      <c r="P40" s="120"/>
      <c r="Q40" s="120"/>
      <c r="R40" s="120"/>
      <c r="S40" s="120"/>
      <c r="T40" s="120"/>
      <c r="U40" s="120"/>
      <c r="V40" s="120"/>
      <c r="W40" s="120"/>
      <c r="X40" s="120"/>
    </row>
    <row r="41" spans="1:24" s="80" customFormat="1">
      <c r="A41" s="130"/>
      <c r="B41" s="130"/>
      <c r="C41" s="127" t="s">
        <v>383</v>
      </c>
      <c r="D41" s="201">
        <v>140</v>
      </c>
      <c r="E41" s="438" t="s">
        <v>384</v>
      </c>
      <c r="F41" s="438"/>
      <c r="G41" s="438"/>
      <c r="H41" s="438"/>
      <c r="I41" s="129">
        <f>MATCH(D41,C45:L45)</f>
        <v>9</v>
      </c>
      <c r="J41" s="78"/>
      <c r="K41" s="324"/>
      <c r="L41" s="324"/>
      <c r="M41" s="324"/>
      <c r="N41" s="120"/>
      <c r="O41" s="120"/>
      <c r="P41" s="120"/>
      <c r="Q41" s="120"/>
      <c r="R41" s="120"/>
      <c r="S41" s="120"/>
      <c r="T41" s="120"/>
      <c r="U41" s="120"/>
      <c r="V41" s="120"/>
      <c r="W41" s="120"/>
      <c r="X41" s="120"/>
    </row>
    <row r="42" spans="1:24" s="80" customFormat="1" ht="15">
      <c r="A42" s="123"/>
      <c r="B42" s="128"/>
      <c r="C42" s="127" t="s">
        <v>385</v>
      </c>
      <c r="D42" s="435">
        <f>INDEX($C$46:$L$64,I40,I41)</f>
        <v>149.74747130974583</v>
      </c>
      <c r="E42" s="436"/>
      <c r="F42" s="125"/>
      <c r="G42" s="125"/>
      <c r="H42" s="125"/>
      <c r="I42" s="125"/>
      <c r="J42" s="125"/>
      <c r="K42" s="326"/>
      <c r="L42" s="326"/>
      <c r="M42" s="324"/>
      <c r="N42" s="120"/>
      <c r="O42" s="120"/>
      <c r="P42" s="120"/>
      <c r="Q42" s="120"/>
      <c r="R42" s="120"/>
      <c r="S42" s="120"/>
      <c r="T42" s="120"/>
      <c r="U42" s="120"/>
      <c r="V42" s="120"/>
      <c r="W42" s="120"/>
      <c r="X42" s="120"/>
    </row>
    <row r="43" spans="1:24" s="80" customFormat="1" ht="15">
      <c r="A43" s="123"/>
      <c r="B43" s="128"/>
      <c r="C43" s="127"/>
      <c r="D43" s="125"/>
      <c r="E43" s="125"/>
      <c r="F43" s="125"/>
      <c r="G43" s="125"/>
      <c r="H43" s="125"/>
      <c r="I43" s="125"/>
      <c r="J43" s="125"/>
      <c r="K43" s="326"/>
      <c r="L43" s="326"/>
      <c r="M43" s="324"/>
      <c r="N43" s="120"/>
      <c r="O43" s="120"/>
      <c r="P43" s="120"/>
      <c r="Q43" s="120"/>
      <c r="R43" s="120"/>
      <c r="S43" s="120"/>
      <c r="T43" s="120"/>
      <c r="U43" s="120"/>
      <c r="V43" s="120"/>
      <c r="W43" s="120"/>
      <c r="X43" s="120"/>
    </row>
    <row r="44" spans="1:24" s="80" customFormat="1" ht="15">
      <c r="A44" s="123"/>
      <c r="B44" s="125"/>
      <c r="C44" s="126" t="s">
        <v>386</v>
      </c>
      <c r="D44" s="125"/>
      <c r="E44" s="125"/>
      <c r="F44" s="125"/>
      <c r="G44" s="125"/>
      <c r="H44" s="125"/>
      <c r="I44" s="125"/>
      <c r="J44" s="125"/>
      <c r="K44" s="125"/>
      <c r="L44" s="125"/>
      <c r="M44" s="78"/>
      <c r="N44" s="120"/>
      <c r="O44" s="120"/>
      <c r="P44" s="120"/>
      <c r="Q44" s="120"/>
      <c r="R44" s="120"/>
      <c r="S44" s="120"/>
      <c r="T44" s="120"/>
      <c r="U44" s="120"/>
      <c r="V44" s="120"/>
      <c r="W44" s="120"/>
      <c r="X44" s="120"/>
    </row>
    <row r="45" spans="1:24" s="80" customFormat="1" ht="15.75" thickBot="1">
      <c r="A45" s="123"/>
      <c r="B45" s="172" t="s">
        <v>387</v>
      </c>
      <c r="C45" s="124">
        <v>25</v>
      </c>
      <c r="D45" s="124">
        <v>40</v>
      </c>
      <c r="E45" s="124">
        <v>50</v>
      </c>
      <c r="F45" s="124">
        <v>65</v>
      </c>
      <c r="G45" s="124">
        <v>75</v>
      </c>
      <c r="H45" s="124">
        <v>100</v>
      </c>
      <c r="I45" s="124">
        <v>115</v>
      </c>
      <c r="J45" s="124">
        <v>125</v>
      </c>
      <c r="K45" s="124">
        <v>140</v>
      </c>
      <c r="L45" s="124">
        <v>150</v>
      </c>
      <c r="M45" s="78"/>
      <c r="N45" s="120"/>
      <c r="O45" s="120"/>
      <c r="P45" s="120"/>
      <c r="Q45" s="120"/>
      <c r="R45" s="120"/>
      <c r="S45" s="120"/>
      <c r="T45" s="120"/>
      <c r="U45" s="120"/>
      <c r="V45" s="120"/>
      <c r="W45" s="120"/>
      <c r="X45" s="120"/>
    </row>
    <row r="46" spans="1:24" s="80" customFormat="1" ht="15">
      <c r="A46" s="123"/>
      <c r="B46" s="122">
        <v>20</v>
      </c>
      <c r="C46" s="121">
        <v>15.882307563154862</v>
      </c>
      <c r="D46" s="121">
        <v>21.781450372326667</v>
      </c>
      <c r="E46" s="121">
        <v>25.865472317137918</v>
      </c>
      <c r="F46" s="121"/>
      <c r="G46" s="121"/>
      <c r="H46" s="121"/>
      <c r="I46" s="121"/>
      <c r="J46" s="121"/>
      <c r="K46" s="121"/>
      <c r="L46" s="121"/>
      <c r="M46" s="78"/>
      <c r="N46" s="120"/>
      <c r="O46" s="120"/>
      <c r="P46" s="120"/>
      <c r="Q46" s="120"/>
      <c r="R46" s="120"/>
      <c r="S46" s="120"/>
      <c r="T46" s="120"/>
      <c r="U46" s="120"/>
      <c r="V46" s="120"/>
      <c r="W46" s="120"/>
      <c r="X46" s="120"/>
    </row>
    <row r="47" spans="1:24" s="80" customFormat="1" ht="15">
      <c r="A47" s="123"/>
      <c r="B47" s="122">
        <v>25</v>
      </c>
      <c r="C47" s="121">
        <v>16.336087779245002</v>
      </c>
      <c r="D47" s="121">
        <v>22.689010804506946</v>
      </c>
      <c r="E47" s="121">
        <v>27.226812965408335</v>
      </c>
      <c r="F47" s="121">
        <v>30.857054694129445</v>
      </c>
      <c r="G47" s="121">
        <v>37.663757935481527</v>
      </c>
      <c r="H47" s="121">
        <v>52.184724850365974</v>
      </c>
      <c r="I47" s="121">
        <v>71.334249969369836</v>
      </c>
      <c r="J47" s="121">
        <v>79.865318031864447</v>
      </c>
      <c r="K47" s="121">
        <v>90.756043218027784</v>
      </c>
      <c r="L47" s="121">
        <v>97.562746459379866</v>
      </c>
      <c r="M47" s="78"/>
      <c r="N47" s="120"/>
      <c r="O47" s="120"/>
      <c r="P47" s="120"/>
      <c r="Q47" s="120"/>
      <c r="R47" s="120"/>
      <c r="S47" s="120"/>
      <c r="T47" s="120"/>
      <c r="U47" s="120"/>
      <c r="V47" s="120"/>
      <c r="W47" s="120"/>
      <c r="X47" s="120"/>
    </row>
    <row r="48" spans="1:24" s="80" customFormat="1" ht="15">
      <c r="A48" s="123"/>
      <c r="B48" s="122">
        <v>35</v>
      </c>
      <c r="C48" s="121">
        <v>18.604988859695695</v>
      </c>
      <c r="D48" s="121">
        <v>25.41169210104778</v>
      </c>
      <c r="E48" s="121">
        <v>29.495714045859028</v>
      </c>
      <c r="F48" s="121">
        <v>31.764615126309725</v>
      </c>
      <c r="G48" s="121">
        <v>39.025098583751948</v>
      </c>
      <c r="H48" s="121">
        <v>53.546065498636395</v>
      </c>
      <c r="I48" s="121">
        <v>73.058614790512365</v>
      </c>
      <c r="J48" s="121">
        <v>81.680438896224999</v>
      </c>
      <c r="K48" s="121">
        <v>93.024944298478474</v>
      </c>
      <c r="L48" s="121">
        <v>99.831647539830556</v>
      </c>
      <c r="M48" s="78"/>
      <c r="N48" s="120"/>
      <c r="O48" s="120"/>
      <c r="P48" s="120"/>
      <c r="Q48" s="120"/>
      <c r="R48" s="120"/>
      <c r="S48" s="120"/>
      <c r="T48" s="120"/>
      <c r="U48" s="120"/>
      <c r="V48" s="120"/>
      <c r="W48" s="120"/>
      <c r="X48" s="120"/>
    </row>
    <row r="49" spans="1:24" s="80" customFormat="1" ht="15">
      <c r="A49" s="123"/>
      <c r="B49" s="122">
        <v>40</v>
      </c>
      <c r="C49" s="121">
        <v>20.873889940146391</v>
      </c>
      <c r="D49" s="121">
        <v>27.680593181498473</v>
      </c>
      <c r="E49" s="121">
        <v>29.94949426194917</v>
      </c>
      <c r="F49" s="121">
        <v>34.033516206760417</v>
      </c>
      <c r="G49" s="121">
        <v>40.522573296849401</v>
      </c>
      <c r="H49" s="121">
        <v>54.453625930816671</v>
      </c>
      <c r="I49" s="121">
        <v>75.055247741308975</v>
      </c>
      <c r="J49" s="121">
        <v>83.949339976675702</v>
      </c>
      <c r="K49" s="121">
        <v>94.386284946748887</v>
      </c>
      <c r="L49" s="121">
        <v>102.10054862028126</v>
      </c>
      <c r="M49" s="78"/>
      <c r="N49" s="120"/>
      <c r="O49" s="120"/>
      <c r="P49" s="120"/>
      <c r="Q49" s="120"/>
      <c r="R49" s="120"/>
      <c r="S49" s="120"/>
      <c r="T49" s="120"/>
      <c r="U49" s="120"/>
      <c r="V49" s="120"/>
      <c r="W49" s="120"/>
      <c r="X49" s="120"/>
    </row>
    <row r="50" spans="1:24" s="80" customFormat="1" ht="15">
      <c r="A50" s="123"/>
      <c r="B50" s="122">
        <v>50</v>
      </c>
      <c r="C50" s="121">
        <v>22.689010804506946</v>
      </c>
      <c r="D50" s="121">
        <v>29.04193382976889</v>
      </c>
      <c r="E50" s="121">
        <v>30.403274478039307</v>
      </c>
      <c r="F50" s="121">
        <v>36.302417287211114</v>
      </c>
      <c r="G50" s="121">
        <v>42.972986463736156</v>
      </c>
      <c r="H50" s="121">
        <v>57.403197335402574</v>
      </c>
      <c r="I50" s="121">
        <v>78.322465297157976</v>
      </c>
      <c r="J50" s="121">
        <v>87.352691597351736</v>
      </c>
      <c r="K50" s="121">
        <v>97.562746459379866</v>
      </c>
      <c r="L50" s="121">
        <v>106.63835078118264</v>
      </c>
      <c r="M50" s="78"/>
      <c r="N50" s="120"/>
      <c r="O50" s="120"/>
      <c r="P50" s="120"/>
      <c r="Q50" s="120"/>
      <c r="R50" s="120"/>
      <c r="S50" s="120"/>
      <c r="T50" s="120"/>
      <c r="U50" s="120"/>
      <c r="V50" s="120"/>
      <c r="W50" s="120"/>
      <c r="X50" s="120"/>
    </row>
    <row r="51" spans="1:24" s="80" customFormat="1" ht="15">
      <c r="A51" s="123"/>
      <c r="B51" s="122">
        <v>70</v>
      </c>
      <c r="C51" s="121">
        <v>24.050351452777363</v>
      </c>
      <c r="D51" s="121">
        <v>29.94949426194917</v>
      </c>
      <c r="E51" s="121">
        <v>31.764615126309725</v>
      </c>
      <c r="F51" s="121">
        <v>38.117538151571665</v>
      </c>
      <c r="G51" s="121">
        <v>45.378021609013892</v>
      </c>
      <c r="H51" s="121">
        <v>59.898988523898339</v>
      </c>
      <c r="I51" s="121">
        <v>81.680438896224999</v>
      </c>
      <c r="J51" s="121">
        <v>90.756043218027784</v>
      </c>
      <c r="K51" s="121">
        <v>102.10054862028126</v>
      </c>
      <c r="L51" s="121">
        <v>111.17615294208403</v>
      </c>
      <c r="M51" s="78"/>
      <c r="N51" s="120"/>
      <c r="O51" s="120"/>
      <c r="P51" s="120"/>
      <c r="Q51" s="120"/>
      <c r="R51" s="120"/>
      <c r="S51" s="120"/>
      <c r="T51" s="120"/>
      <c r="U51" s="120"/>
      <c r="V51" s="120"/>
      <c r="W51" s="120"/>
      <c r="X51" s="120"/>
    </row>
    <row r="52" spans="1:24" s="80" customFormat="1" ht="15">
      <c r="A52" s="123"/>
      <c r="B52" s="122">
        <v>80</v>
      </c>
      <c r="C52" s="121">
        <v>27.226812965408335</v>
      </c>
      <c r="D52" s="121">
        <v>31.310834910219583</v>
      </c>
      <c r="E52" s="121">
        <v>32.672175558490004</v>
      </c>
      <c r="F52" s="121">
        <v>39.478878799842086</v>
      </c>
      <c r="G52" s="121">
        <v>47.011630386938386</v>
      </c>
      <c r="H52" s="121">
        <v>63.529230252619449</v>
      </c>
      <c r="I52" s="121">
        <v>84.630010300810909</v>
      </c>
      <c r="J52" s="121">
        <v>94.386284946748887</v>
      </c>
      <c r="K52" s="121">
        <v>104.36944970073195</v>
      </c>
      <c r="L52" s="121">
        <v>115.71395510298542</v>
      </c>
      <c r="M52" s="78"/>
      <c r="N52" s="120"/>
      <c r="O52" s="120"/>
      <c r="P52" s="120"/>
      <c r="Q52" s="120"/>
      <c r="R52" s="120"/>
      <c r="S52" s="120"/>
      <c r="T52" s="120"/>
      <c r="U52" s="120"/>
      <c r="V52" s="120"/>
      <c r="W52" s="120"/>
      <c r="X52" s="120"/>
    </row>
    <row r="53" spans="1:24" s="80" customFormat="1" ht="15">
      <c r="A53" s="123"/>
      <c r="B53" s="122">
        <v>100</v>
      </c>
      <c r="C53" s="121">
        <v>31.310834910219583</v>
      </c>
      <c r="D53" s="121">
        <v>32.672175558490004</v>
      </c>
      <c r="E53" s="121">
        <v>34.033516206760417</v>
      </c>
      <c r="F53" s="121">
        <v>43.109120528563196</v>
      </c>
      <c r="G53" s="121">
        <v>50.505738050832463</v>
      </c>
      <c r="H53" s="121">
        <v>67.840142305475766</v>
      </c>
      <c r="I53" s="121">
        <v>89.93923882906553</v>
      </c>
      <c r="J53" s="121">
        <v>99.831647539830556</v>
      </c>
      <c r="K53" s="121">
        <v>111.17615294208403</v>
      </c>
      <c r="L53" s="121">
        <v>121.61309791215723</v>
      </c>
      <c r="M53" s="78"/>
      <c r="N53" s="120"/>
      <c r="O53" s="120"/>
      <c r="P53" s="120"/>
      <c r="Q53" s="120"/>
      <c r="R53" s="120"/>
      <c r="S53" s="120"/>
      <c r="T53" s="120"/>
      <c r="U53" s="120"/>
      <c r="V53" s="120"/>
      <c r="W53" s="120"/>
      <c r="X53" s="120"/>
    </row>
    <row r="54" spans="1:24" s="80" customFormat="1" ht="15">
      <c r="A54" s="123"/>
      <c r="B54" s="122">
        <v>125</v>
      </c>
      <c r="C54" s="121">
        <v>34.033516206760417</v>
      </c>
      <c r="D54" s="121">
        <v>39.478878799842086</v>
      </c>
      <c r="E54" s="121">
        <v>43.109120528563196</v>
      </c>
      <c r="F54" s="121">
        <v>49.915823769915278</v>
      </c>
      <c r="G54" s="121">
        <v>54.635138017252729</v>
      </c>
      <c r="H54" s="121">
        <v>72.604834574422227</v>
      </c>
      <c r="I54" s="121">
        <v>95.293845378929177</v>
      </c>
      <c r="J54" s="121">
        <v>106.63835078118264</v>
      </c>
      <c r="K54" s="121">
        <v>117.98285618343611</v>
      </c>
      <c r="L54" s="121">
        <v>127.0584605052389</v>
      </c>
      <c r="M54" s="78"/>
      <c r="N54" s="120"/>
      <c r="O54" s="120"/>
      <c r="P54" s="120"/>
      <c r="Q54" s="120"/>
      <c r="R54" s="120"/>
      <c r="S54" s="120"/>
      <c r="T54" s="120"/>
      <c r="U54" s="120"/>
      <c r="V54" s="120"/>
      <c r="W54" s="120"/>
      <c r="X54" s="120"/>
    </row>
    <row r="55" spans="1:24" s="80" customFormat="1" ht="15">
      <c r="A55" s="123"/>
      <c r="B55" s="122">
        <v>150</v>
      </c>
      <c r="C55" s="121">
        <v>37.209977719391389</v>
      </c>
      <c r="D55" s="121">
        <v>42.20156009638292</v>
      </c>
      <c r="E55" s="121">
        <v>45.378021609013892</v>
      </c>
      <c r="F55" s="121">
        <v>52.184724850365974</v>
      </c>
      <c r="G55" s="121">
        <v>58.764537983672987</v>
      </c>
      <c r="H55" s="121">
        <v>77.823307059458827</v>
      </c>
      <c r="I55" s="121">
        <v>102.28206070671732</v>
      </c>
      <c r="J55" s="121">
        <v>113.44505402253473</v>
      </c>
      <c r="K55" s="121">
        <v>124.78955942478819</v>
      </c>
      <c r="L55" s="121">
        <v>136.13406482704167</v>
      </c>
      <c r="M55" s="78"/>
      <c r="N55" s="120"/>
      <c r="O55" s="120"/>
      <c r="P55" s="120"/>
      <c r="Q55" s="120"/>
      <c r="R55" s="120"/>
      <c r="S55" s="120"/>
      <c r="T55" s="120"/>
      <c r="U55" s="120"/>
      <c r="V55" s="120"/>
      <c r="W55" s="120"/>
      <c r="X55" s="120"/>
    </row>
    <row r="56" spans="1:24" s="80" customFormat="1" ht="15">
      <c r="A56" s="123"/>
      <c r="B56" s="122">
        <v>200</v>
      </c>
      <c r="C56" s="121">
        <v>45.378021609013892</v>
      </c>
      <c r="D56" s="121">
        <v>50.823384202095561</v>
      </c>
      <c r="E56" s="121">
        <v>54.453625930816671</v>
      </c>
      <c r="F56" s="121">
        <v>58.991428091718056</v>
      </c>
      <c r="G56" s="121">
        <v>66.93258187329549</v>
      </c>
      <c r="H56" s="121">
        <v>87.806471813441874</v>
      </c>
      <c r="I56" s="121">
        <v>113.89883423862487</v>
      </c>
      <c r="J56" s="121">
        <v>125.47022974892342</v>
      </c>
      <c r="K56" s="121">
        <v>136.13406482704167</v>
      </c>
      <c r="L56" s="121">
        <v>149.74747130974583</v>
      </c>
      <c r="M56" s="78"/>
      <c r="N56" s="120"/>
      <c r="O56" s="120"/>
      <c r="P56" s="120"/>
      <c r="Q56" s="120"/>
      <c r="R56" s="120"/>
      <c r="S56" s="120"/>
      <c r="T56" s="120"/>
      <c r="U56" s="120"/>
      <c r="V56" s="120"/>
      <c r="W56" s="120"/>
      <c r="X56" s="120"/>
    </row>
    <row r="57" spans="1:24" s="80" customFormat="1" ht="15">
      <c r="A57" s="123"/>
      <c r="B57" s="122">
        <v>250</v>
      </c>
      <c r="C57" s="121">
        <v>54.453625930816671</v>
      </c>
      <c r="D57" s="121">
        <v>61.260329172168753</v>
      </c>
      <c r="E57" s="121">
        <v>63.529230252619449</v>
      </c>
      <c r="F57" s="121">
        <v>70.335933493971538</v>
      </c>
      <c r="G57" s="121">
        <v>75.236759827745033</v>
      </c>
      <c r="H57" s="121">
        <v>98.016526675470004</v>
      </c>
      <c r="I57" s="121">
        <v>126.15090007305862</v>
      </c>
      <c r="J57" s="121">
        <v>138.40296590749236</v>
      </c>
      <c r="K57" s="121">
        <v>149.74747130974583</v>
      </c>
      <c r="L57" s="121">
        <v>163.36087779245</v>
      </c>
      <c r="M57" s="78"/>
      <c r="N57" s="120"/>
      <c r="O57" s="120"/>
      <c r="P57" s="120"/>
      <c r="Q57" s="120"/>
      <c r="R57" s="120"/>
      <c r="S57" s="120"/>
      <c r="T57" s="120"/>
      <c r="U57" s="120"/>
      <c r="V57" s="120"/>
      <c r="W57" s="120"/>
      <c r="X57" s="120"/>
    </row>
    <row r="58" spans="1:24" s="80" customFormat="1" ht="15">
      <c r="A58" s="123"/>
      <c r="B58" s="122">
        <v>300</v>
      </c>
      <c r="C58" s="121">
        <v>63.529230252619449</v>
      </c>
      <c r="D58" s="121">
        <v>68.067032413520835</v>
      </c>
      <c r="E58" s="121">
        <v>72.604834574422227</v>
      </c>
      <c r="F58" s="121">
        <v>77.596416951413758</v>
      </c>
      <c r="G58" s="121">
        <v>83.041779544495427</v>
      </c>
      <c r="H58" s="121">
        <v>107.31902110531786</v>
      </c>
      <c r="I58" s="121">
        <v>137.04162525922195</v>
      </c>
      <c r="J58" s="121">
        <v>149.74747130974583</v>
      </c>
      <c r="K58" s="121">
        <v>163.36087779245</v>
      </c>
      <c r="L58" s="121">
        <v>176.97428427515416</v>
      </c>
      <c r="M58" s="78"/>
      <c r="N58" s="120"/>
      <c r="O58" s="120"/>
      <c r="P58" s="120"/>
      <c r="Q58" s="120"/>
      <c r="R58" s="120"/>
      <c r="S58" s="120"/>
      <c r="T58" s="120"/>
      <c r="U58" s="120"/>
      <c r="V58" s="120"/>
      <c r="W58" s="120"/>
      <c r="X58" s="120"/>
    </row>
    <row r="59" spans="1:24" s="80" customFormat="1" ht="15">
      <c r="A59" s="123"/>
      <c r="B59" s="122">
        <v>350</v>
      </c>
      <c r="C59" s="121">
        <v>71.697274142241952</v>
      </c>
      <c r="D59" s="121">
        <v>76.23507630314333</v>
      </c>
      <c r="E59" s="121">
        <v>79.411537815774309</v>
      </c>
      <c r="F59" s="121">
        <v>86.218241057126392</v>
      </c>
      <c r="G59" s="121">
        <v>89.394702569757371</v>
      </c>
      <c r="H59" s="121">
        <v>114.35261445471501</v>
      </c>
      <c r="I59" s="121">
        <v>145.20966914884445</v>
      </c>
      <c r="J59" s="121">
        <v>158.82307563154862</v>
      </c>
      <c r="K59" s="121">
        <v>174.70538319470347</v>
      </c>
      <c r="L59" s="121">
        <v>188.31878967740764</v>
      </c>
      <c r="M59" s="78"/>
      <c r="N59" s="120"/>
      <c r="O59" s="120"/>
      <c r="P59" s="120"/>
      <c r="Q59" s="120"/>
      <c r="R59" s="120"/>
      <c r="S59" s="120"/>
      <c r="T59" s="120"/>
      <c r="U59" s="120"/>
      <c r="V59" s="120"/>
      <c r="W59" s="120"/>
      <c r="X59" s="120"/>
    </row>
    <row r="60" spans="1:24" s="80" customFormat="1" ht="15">
      <c r="A60" s="123"/>
      <c r="B60" s="122">
        <v>400</v>
      </c>
      <c r="C60" s="121">
        <v>77.14263673532362</v>
      </c>
      <c r="D60" s="121">
        <v>81.680438896224999</v>
      </c>
      <c r="E60" s="121">
        <v>86.218241057126392</v>
      </c>
      <c r="F60" s="121">
        <v>90.756043218027784</v>
      </c>
      <c r="G60" s="121">
        <v>97.562746459379866</v>
      </c>
      <c r="H60" s="121">
        <v>124.78955942478819</v>
      </c>
      <c r="I60" s="121">
        <v>158.82307563154862</v>
      </c>
      <c r="J60" s="121">
        <v>172.43648211425278</v>
      </c>
      <c r="K60" s="121">
        <v>188.31878967740764</v>
      </c>
      <c r="L60" s="121">
        <v>201.93219616011183</v>
      </c>
      <c r="M60" s="78"/>
      <c r="N60" s="120"/>
      <c r="O60" s="120"/>
      <c r="P60" s="120"/>
      <c r="Q60" s="120"/>
      <c r="R60" s="120"/>
      <c r="S60" s="120"/>
      <c r="T60" s="120"/>
      <c r="U60" s="120"/>
      <c r="V60" s="120"/>
      <c r="W60" s="120"/>
      <c r="X60" s="120"/>
    </row>
    <row r="61" spans="1:24" s="80" customFormat="1" ht="15">
      <c r="A61" s="123"/>
      <c r="B61" s="122">
        <v>450</v>
      </c>
      <c r="C61" s="121"/>
      <c r="D61" s="121"/>
      <c r="E61" s="121">
        <v>97.562746459379866</v>
      </c>
      <c r="F61" s="121">
        <v>102.10054862028126</v>
      </c>
      <c r="G61" s="121">
        <v>106.1845705650925</v>
      </c>
      <c r="H61" s="121">
        <v>133.86516374659098</v>
      </c>
      <c r="I61" s="121">
        <v>170.16758103380209</v>
      </c>
      <c r="J61" s="121">
        <v>186.04988859695695</v>
      </c>
      <c r="K61" s="121">
        <v>199.66329507966111</v>
      </c>
      <c r="L61" s="121">
        <v>215.54560264281599</v>
      </c>
      <c r="M61" s="78"/>
      <c r="N61" s="120"/>
      <c r="O61" s="120"/>
      <c r="P61" s="120"/>
      <c r="Q61" s="120"/>
      <c r="R61" s="120"/>
      <c r="S61" s="120"/>
      <c r="T61" s="120"/>
      <c r="U61" s="120"/>
      <c r="V61" s="120"/>
      <c r="W61" s="120"/>
      <c r="X61" s="120"/>
    </row>
    <row r="62" spans="1:24" s="80" customFormat="1" ht="15">
      <c r="A62" s="123"/>
      <c r="B62" s="122">
        <v>500</v>
      </c>
      <c r="C62" s="121"/>
      <c r="D62" s="121"/>
      <c r="E62" s="121">
        <v>104.36944970073195</v>
      </c>
      <c r="F62" s="121">
        <v>108.90725186163334</v>
      </c>
      <c r="G62" s="121">
        <v>114.57950456276008</v>
      </c>
      <c r="H62" s="121">
        <v>143.84832850057404</v>
      </c>
      <c r="I62" s="121">
        <v>183.78098751650626</v>
      </c>
      <c r="J62" s="121">
        <v>197.39439399921042</v>
      </c>
      <c r="K62" s="121">
        <v>213.27670156236528</v>
      </c>
      <c r="L62" s="121">
        <v>229.15900912552016</v>
      </c>
      <c r="M62" s="78"/>
      <c r="N62" s="120"/>
      <c r="O62" s="120"/>
      <c r="P62" s="120"/>
      <c r="Q62" s="120"/>
      <c r="R62" s="120"/>
      <c r="S62" s="120"/>
      <c r="T62" s="120"/>
      <c r="U62" s="120"/>
      <c r="V62" s="120"/>
      <c r="W62" s="120"/>
      <c r="X62" s="120"/>
    </row>
    <row r="63" spans="1:24" s="80" customFormat="1" ht="15">
      <c r="A63" s="123"/>
      <c r="B63" s="122">
        <v>550</v>
      </c>
      <c r="C63" s="121"/>
      <c r="D63" s="121"/>
      <c r="E63" s="121">
        <v>113.44505402253473</v>
      </c>
      <c r="F63" s="121">
        <v>117.98285618343611</v>
      </c>
      <c r="G63" s="121">
        <v>122.52065834433751</v>
      </c>
      <c r="H63" s="121">
        <v>154.28527347064724</v>
      </c>
      <c r="I63" s="121">
        <v>195.12549291875973</v>
      </c>
      <c r="J63" s="121">
        <v>211.00780048191459</v>
      </c>
      <c r="K63" s="121">
        <v>226.89010804506947</v>
      </c>
      <c r="L63" s="121">
        <v>245.04131668867501</v>
      </c>
      <c r="M63" s="78"/>
      <c r="N63" s="120"/>
      <c r="O63" s="120"/>
      <c r="P63" s="120"/>
      <c r="Q63" s="120"/>
      <c r="R63" s="120"/>
      <c r="S63" s="120"/>
      <c r="T63" s="120"/>
      <c r="U63" s="120"/>
      <c r="V63" s="120"/>
      <c r="W63" s="120"/>
      <c r="X63" s="120"/>
    </row>
    <row r="64" spans="1:24" s="80" customFormat="1" ht="15">
      <c r="A64" s="123"/>
      <c r="B64" s="122">
        <v>600</v>
      </c>
      <c r="C64" s="121"/>
      <c r="D64" s="121"/>
      <c r="E64" s="121">
        <v>120.25175726388682</v>
      </c>
      <c r="F64" s="121">
        <v>124.78955942478819</v>
      </c>
      <c r="G64" s="121">
        <v>131.59626266614029</v>
      </c>
      <c r="H64" s="121">
        <v>163.36087779245</v>
      </c>
      <c r="I64" s="121">
        <v>206.46999832101321</v>
      </c>
      <c r="J64" s="121">
        <v>224.62120696461875</v>
      </c>
      <c r="K64" s="121">
        <v>240.50351452777363</v>
      </c>
      <c r="L64" s="121">
        <v>258.6547231713792</v>
      </c>
      <c r="M64" s="78"/>
      <c r="N64" s="120"/>
      <c r="O64" s="120"/>
      <c r="P64" s="120"/>
      <c r="Q64" s="120"/>
      <c r="R64" s="120"/>
      <c r="S64" s="120"/>
      <c r="T64" s="120"/>
      <c r="U64" s="120"/>
      <c r="V64" s="120"/>
      <c r="W64" s="120"/>
      <c r="X64" s="120"/>
    </row>
    <row r="65" spans="1:24" s="80" customFormat="1">
      <c r="A65" s="78"/>
      <c r="B65" s="78"/>
      <c r="C65" s="78"/>
      <c r="D65" s="78"/>
      <c r="E65" s="78"/>
      <c r="F65" s="78"/>
      <c r="G65" s="78"/>
      <c r="H65" s="78"/>
      <c r="I65" s="78"/>
      <c r="J65" s="78"/>
      <c r="K65" s="78"/>
      <c r="L65" s="78"/>
      <c r="M65" s="78"/>
      <c r="N65" s="120"/>
      <c r="O65" s="120"/>
      <c r="P65" s="120"/>
      <c r="Q65" s="120"/>
      <c r="R65" s="120"/>
      <c r="S65" s="120"/>
      <c r="T65" s="120"/>
      <c r="U65" s="120"/>
      <c r="V65" s="120"/>
      <c r="W65" s="120"/>
      <c r="X65" s="120"/>
    </row>
  </sheetData>
  <mergeCells count="6">
    <mergeCell ref="D42:E42"/>
    <mergeCell ref="E5:H5"/>
    <mergeCell ref="E6:H6"/>
    <mergeCell ref="E40:H40"/>
    <mergeCell ref="E41:H41"/>
    <mergeCell ref="D7:E7"/>
  </mergeCells>
  <conditionalFormatting sqref="C11:W35">
    <cfRule type="expression" dxfId="1" priority="1" stopIfTrue="1">
      <formula>IF(AND(ROW(C11)-ROW($B$10)=$I$5,COLUMN(C11)-COLUMN($B$10)=$I$6),1,0)</formula>
    </cfRule>
  </conditionalFormatting>
  <conditionalFormatting sqref="C46:L64">
    <cfRule type="expression" dxfId="0" priority="2" stopIfTrue="1">
      <formula>IF(AND(ROW(C46)-ROW($B$45)=$I$40,COLUMN(C46)-COLUMN($B$45)=$I$41),1,0)</formula>
    </cfRule>
  </conditionalFormatting>
  <dataValidations count="7">
    <dataValidation type="list" errorStyle="warning" allowBlank="1" showInputMessage="1" showErrorMessage="1" errorTitle="Please note:" error="The value doesn't match the listed values; the next lower value which yields a match will therefore be selected." sqref="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xr:uid="{00000000-0002-0000-0800-000000000000}">
      <formula1>$C$45:$L$45</formula1>
    </dataValidation>
    <dataValidation type="list" errorStyle="warning" allowBlank="1" showInputMessage="1" showErrorMessage="1" errorTitle="Please note:" error="The value doesn't match the listed values; the next lower value which yields a match will therefore be selected." sqref="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xr:uid="{00000000-0002-0000-0800-000001000000}">
      <formula1>$B$46:$B$64</formula1>
    </dataValidation>
    <dataValidation errorStyle="warning" allowBlank="1" showInputMessage="1" showErrorMessage="1" sqref="WVQ98304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xr:uid="{00000000-0002-0000-0800-000002000000}"/>
    <dataValidation type="list" errorStyle="warning" allowBlank="1" showInputMessage="1" showErrorMessage="1" errorTitle="Please note:" error="The value doesn't match the listed values; the next lower value which yields a match will therefore be selected."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00000000-0002-0000-0800-000003000000}">
      <formula1>$C$10:$W$10</formula1>
    </dataValidation>
    <dataValidation type="list" errorStyle="warning" allowBlank="1" showInputMessage="1" showErrorMessage="1" errorTitle="Please note:" error="The value doesn't match the listed values; the next lower value which yields a match will therefore be selected."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xr:uid="{00000000-0002-0000-0800-000004000000}">
      <formula1>$B$11:$B$35</formula1>
    </dataValidation>
    <dataValidation type="custom" showInputMessage="1" showErrorMessage="1" errorTitle="Data protection:" error="The data present in this sheet are protected in order to prevent unintentional changes in the source data which may corrupt the calculations." promptTitle="Diameter:" prompt="The diameter of the piping, exclusive insulation." sqref="B10 B45" xr:uid="{00000000-0002-0000-0800-000005000000}">
      <formula1>0</formula1>
    </dataValidation>
    <dataValidation type="custom" showInputMessage="1" showErrorMessage="1" errorTitle="Data protection:" error="The data present in this sheet are protected in order to prevent unintentional changes in the source data which may corrupt the calculations." sqref="A10 B40:B42 B46:B65 I10:I14 N15:T36 C46:M65 D45:G45 A36:D39 E36:M37 E38:H41 I38:M39 A45:A1048576 I40:I41 A43:G44 H42:I45 D42:G42 A40:A42 J40:M45 O1:S4 A11:E35 F15:M35 U15:X36 T1:X14 N5:S14 J5:J6 D7:J9 K7:M14 E5:I6 J10:J14 A5:C7 F10:H14 A8:C9 A1:N4" xr:uid="{00000000-0002-0000-0800-000006000000}">
      <formula1>0</formula1>
    </dataValidation>
  </dataValidations>
  <pageMargins left="0.75" right="0.75" top="1" bottom="1" header="0.5" footer="0.5"/>
  <pageSetup paperSize="9"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W115"/>
  <sheetViews>
    <sheetView zoomScale="70" zoomScaleNormal="70" workbookViewId="0">
      <selection activeCell="C1" sqref="C1"/>
    </sheetView>
  </sheetViews>
  <sheetFormatPr defaultColWidth="0" defaultRowHeight="12.75" zeroHeight="1"/>
  <cols>
    <col min="1" max="1" width="6.7109375" style="85" customWidth="1"/>
    <col min="2" max="37" width="6.28515625" style="85" customWidth="1"/>
    <col min="38" max="38" width="9.140625" style="85" customWidth="1"/>
    <col min="39" max="16384" width="9.140625" style="78" hidden="1"/>
  </cols>
  <sheetData>
    <row r="1" spans="1:37">
      <c r="A1" s="173" t="s">
        <v>388</v>
      </c>
      <c r="H1" s="173" t="s">
        <v>389</v>
      </c>
      <c r="M1" s="173"/>
      <c r="AI1" s="85" t="s">
        <v>240</v>
      </c>
      <c r="AJ1" s="174" t="s">
        <v>390</v>
      </c>
    </row>
    <row r="2" spans="1:37"/>
    <row r="3" spans="1:37">
      <c r="A3" s="175" t="s">
        <v>391</v>
      </c>
      <c r="D3" s="175" t="s">
        <v>392</v>
      </c>
    </row>
    <row r="4" spans="1:37">
      <c r="A4" s="171" t="s">
        <v>393</v>
      </c>
      <c r="B4" s="164">
        <v>1</v>
      </c>
      <c r="C4" s="164">
        <v>2</v>
      </c>
      <c r="D4" s="164">
        <v>3</v>
      </c>
      <c r="E4" s="164">
        <v>4</v>
      </c>
      <c r="F4" s="164">
        <v>5</v>
      </c>
      <c r="G4" s="164">
        <v>6</v>
      </c>
      <c r="H4" s="164">
        <v>7</v>
      </c>
      <c r="I4" s="164">
        <v>8</v>
      </c>
      <c r="J4" s="164">
        <v>9</v>
      </c>
      <c r="K4" s="164">
        <v>10</v>
      </c>
      <c r="L4" s="164">
        <v>11</v>
      </c>
      <c r="M4" s="164">
        <v>12</v>
      </c>
      <c r="N4" s="164">
        <v>13</v>
      </c>
      <c r="O4" s="164">
        <v>14</v>
      </c>
      <c r="P4" s="164">
        <v>15</v>
      </c>
      <c r="Q4" s="164">
        <v>16</v>
      </c>
      <c r="R4" s="164">
        <v>17</v>
      </c>
      <c r="S4" s="164">
        <v>18</v>
      </c>
      <c r="T4" s="164">
        <v>19</v>
      </c>
      <c r="U4" s="164">
        <v>20</v>
      </c>
      <c r="V4" s="164">
        <v>21</v>
      </c>
      <c r="W4" s="164">
        <v>22</v>
      </c>
      <c r="X4" s="164">
        <v>23</v>
      </c>
      <c r="Y4" s="164">
        <v>24</v>
      </c>
      <c r="Z4" s="164">
        <v>25</v>
      </c>
      <c r="AA4" s="164">
        <v>26</v>
      </c>
      <c r="AB4" s="164">
        <v>27</v>
      </c>
      <c r="AC4" s="164">
        <v>28</v>
      </c>
      <c r="AD4" s="164">
        <v>29</v>
      </c>
      <c r="AE4" s="164">
        <v>30</v>
      </c>
      <c r="AF4" s="164">
        <v>31</v>
      </c>
      <c r="AG4" s="164">
        <v>32</v>
      </c>
      <c r="AH4" s="164">
        <v>33</v>
      </c>
      <c r="AI4" s="164">
        <v>34</v>
      </c>
      <c r="AJ4" s="164">
        <v>35</v>
      </c>
      <c r="AK4" s="164">
        <v>36</v>
      </c>
    </row>
    <row r="5" spans="1:37">
      <c r="A5" s="164">
        <v>1</v>
      </c>
      <c r="B5" s="170">
        <v>104.1</v>
      </c>
      <c r="C5" s="169">
        <v>104.28571428571428</v>
      </c>
      <c r="D5" s="169">
        <v>104.75714285714285</v>
      </c>
      <c r="E5" s="169">
        <v>106.11428571428571</v>
      </c>
      <c r="F5" s="169">
        <v>107.35714285714286</v>
      </c>
      <c r="G5" s="169">
        <v>109.48571428571429</v>
      </c>
      <c r="H5" s="169">
        <v>110.5</v>
      </c>
      <c r="I5" s="169">
        <v>122.4</v>
      </c>
      <c r="J5" s="169">
        <v>137.18571428571428</v>
      </c>
      <c r="K5" s="168">
        <v>151.85714285714286</v>
      </c>
      <c r="L5" s="170">
        <v>166.41428571428574</v>
      </c>
      <c r="M5" s="169">
        <v>180.85714285714289</v>
      </c>
      <c r="N5" s="169">
        <v>195.18571428571431</v>
      </c>
      <c r="O5" s="169">
        <v>209.4</v>
      </c>
      <c r="P5" s="169">
        <v>223.5</v>
      </c>
      <c r="Q5" s="169">
        <v>237.48571428571432</v>
      </c>
      <c r="R5" s="169">
        <v>251.35714285714289</v>
      </c>
      <c r="S5" s="169">
        <v>265.11428571428576</v>
      </c>
      <c r="T5" s="169">
        <v>278.75714285714292</v>
      </c>
      <c r="U5" s="168">
        <v>292.28571428571433</v>
      </c>
      <c r="V5" s="170">
        <v>305.7</v>
      </c>
      <c r="W5" s="169">
        <v>319</v>
      </c>
      <c r="X5" s="169">
        <v>332.18571428571437</v>
      </c>
      <c r="Y5" s="169">
        <v>345.25714285714298</v>
      </c>
      <c r="Z5" s="169">
        <v>358.21428571428584</v>
      </c>
      <c r="AA5" s="169">
        <v>371.05714285714299</v>
      </c>
      <c r="AB5" s="169">
        <v>383.78571428571439</v>
      </c>
      <c r="AC5" s="169">
        <v>396.4</v>
      </c>
      <c r="AD5" s="169">
        <v>408.9</v>
      </c>
      <c r="AE5" s="168">
        <v>421.28571428571445</v>
      </c>
      <c r="AF5" s="170">
        <v>433.55714285714305</v>
      </c>
      <c r="AG5" s="169">
        <v>445.71428571428589</v>
      </c>
      <c r="AH5" s="169">
        <v>457.75714285714304</v>
      </c>
      <c r="AI5" s="169">
        <v>469.68571428571448</v>
      </c>
      <c r="AJ5" s="169">
        <v>481.5</v>
      </c>
      <c r="AK5" s="168">
        <v>493.2</v>
      </c>
    </row>
    <row r="6" spans="1:37">
      <c r="A6" s="164">
        <v>2</v>
      </c>
      <c r="B6" s="167">
        <v>104.4</v>
      </c>
      <c r="C6" s="166">
        <v>104.57142857142857</v>
      </c>
      <c r="D6" s="166">
        <v>105.51428571428571</v>
      </c>
      <c r="E6" s="166">
        <v>108.22857142857143</v>
      </c>
      <c r="F6" s="166">
        <v>114.71428571428572</v>
      </c>
      <c r="G6" s="166">
        <v>136.97142857142859</v>
      </c>
      <c r="H6" s="166">
        <v>159</v>
      </c>
      <c r="I6" s="166">
        <v>180.8</v>
      </c>
      <c r="J6" s="166">
        <v>202.37142857142859</v>
      </c>
      <c r="K6" s="165">
        <v>223.71428571428572</v>
      </c>
      <c r="L6" s="167">
        <v>244.82857142857145</v>
      </c>
      <c r="M6" s="166">
        <v>265.71428571428578</v>
      </c>
      <c r="N6" s="166">
        <v>286.37142857142862</v>
      </c>
      <c r="O6" s="166">
        <v>306.8</v>
      </c>
      <c r="P6" s="166">
        <v>327</v>
      </c>
      <c r="Q6" s="166">
        <v>346.97142857142865</v>
      </c>
      <c r="R6" s="166">
        <v>366.71428571428578</v>
      </c>
      <c r="S6" s="166">
        <v>386.22857142857151</v>
      </c>
      <c r="T6" s="166">
        <v>405.51428571428585</v>
      </c>
      <c r="U6" s="165">
        <v>424.57142857142867</v>
      </c>
      <c r="V6" s="167">
        <v>443.4</v>
      </c>
      <c r="W6" s="166">
        <v>462</v>
      </c>
      <c r="X6" s="166">
        <v>480.37142857142874</v>
      </c>
      <c r="Y6" s="166">
        <v>498.5142857142859</v>
      </c>
      <c r="Z6" s="166">
        <v>516.42857142857167</v>
      </c>
      <c r="AA6" s="166">
        <v>534.11428571428598</v>
      </c>
      <c r="AB6" s="166">
        <v>551.57142857142878</v>
      </c>
      <c r="AC6" s="166">
        <v>568.79999999999995</v>
      </c>
      <c r="AD6" s="166">
        <v>585.79999999999995</v>
      </c>
      <c r="AE6" s="165">
        <v>602.5714285714289</v>
      </c>
      <c r="AF6" s="167">
        <v>619.1142857142861</v>
      </c>
      <c r="AG6" s="166">
        <v>635.42857142857179</v>
      </c>
      <c r="AH6" s="166">
        <v>651.51428571428607</v>
      </c>
      <c r="AI6" s="166">
        <v>667.37142857142896</v>
      </c>
      <c r="AJ6" s="166">
        <v>683</v>
      </c>
      <c r="AK6" s="165">
        <v>698.4</v>
      </c>
    </row>
    <row r="7" spans="1:37">
      <c r="A7" s="164">
        <v>3</v>
      </c>
      <c r="B7" s="167">
        <v>104.8</v>
      </c>
      <c r="C7" s="166">
        <v>106.25714285714285</v>
      </c>
      <c r="D7" s="166">
        <v>107.37142857142857</v>
      </c>
      <c r="E7" s="166">
        <v>113.14285714285714</v>
      </c>
      <c r="F7" s="166">
        <v>140.57142857142858</v>
      </c>
      <c r="G7" s="166">
        <v>167.65714285714287</v>
      </c>
      <c r="H7" s="166">
        <v>194.4</v>
      </c>
      <c r="I7" s="166">
        <v>220.8</v>
      </c>
      <c r="J7" s="166">
        <v>246.85714285714289</v>
      </c>
      <c r="K7" s="165">
        <v>272.57142857142861</v>
      </c>
      <c r="L7" s="167">
        <v>297.94285714285718</v>
      </c>
      <c r="M7" s="166">
        <v>322.97142857142865</v>
      </c>
      <c r="N7" s="166">
        <v>347.65714285714296</v>
      </c>
      <c r="O7" s="166">
        <v>372</v>
      </c>
      <c r="P7" s="166">
        <v>396</v>
      </c>
      <c r="Q7" s="166">
        <v>419.65714285714296</v>
      </c>
      <c r="R7" s="166">
        <v>442.9714285714287</v>
      </c>
      <c r="S7" s="166">
        <v>465.94285714285729</v>
      </c>
      <c r="T7" s="166">
        <v>488.57142857142878</v>
      </c>
      <c r="U7" s="165">
        <v>510.85714285714306</v>
      </c>
      <c r="V7" s="167">
        <v>532.79999999999995</v>
      </c>
      <c r="W7" s="166">
        <v>554.4</v>
      </c>
      <c r="X7" s="166">
        <v>575.65714285714319</v>
      </c>
      <c r="Y7" s="166">
        <v>596.5714285714289</v>
      </c>
      <c r="Z7" s="166">
        <v>617.14285714285745</v>
      </c>
      <c r="AA7" s="166">
        <v>637.37142857142896</v>
      </c>
      <c r="AB7" s="166">
        <v>657.25714285714321</v>
      </c>
      <c r="AC7" s="166">
        <v>676.8</v>
      </c>
      <c r="AD7" s="166">
        <v>696</v>
      </c>
      <c r="AE7" s="165">
        <v>714.85714285714334</v>
      </c>
      <c r="AF7" s="167">
        <v>733.37142857142908</v>
      </c>
      <c r="AG7" s="166">
        <v>751.54285714285766</v>
      </c>
      <c r="AH7" s="166">
        <v>769.37142857142919</v>
      </c>
      <c r="AI7" s="166">
        <v>786.85714285714346</v>
      </c>
      <c r="AJ7" s="166">
        <v>804.00000000000068</v>
      </c>
      <c r="AK7" s="165">
        <v>820.80000000000075</v>
      </c>
    </row>
    <row r="8" spans="1:37">
      <c r="A8" s="164">
        <v>4</v>
      </c>
      <c r="B8" s="167">
        <v>104.8</v>
      </c>
      <c r="C8" s="166">
        <v>107.14285714285714</v>
      </c>
      <c r="D8" s="166">
        <v>112.02857142857142</v>
      </c>
      <c r="E8" s="166">
        <v>140.45714285714286</v>
      </c>
      <c r="F8" s="166">
        <v>174.42857142857144</v>
      </c>
      <c r="G8" s="166">
        <v>207.94285714285715</v>
      </c>
      <c r="H8" s="166">
        <v>241</v>
      </c>
      <c r="I8" s="166">
        <v>273.60000000000002</v>
      </c>
      <c r="J8" s="166">
        <v>305.74285714285719</v>
      </c>
      <c r="K8" s="165">
        <v>337.42857142857144</v>
      </c>
      <c r="L8" s="167">
        <v>368.6571428571429</v>
      </c>
      <c r="M8" s="166">
        <v>399.4285714285715</v>
      </c>
      <c r="N8" s="166">
        <v>429.74285714285725</v>
      </c>
      <c r="O8" s="166">
        <v>459.6</v>
      </c>
      <c r="P8" s="166">
        <v>489</v>
      </c>
      <c r="Q8" s="166">
        <v>517.94285714285729</v>
      </c>
      <c r="R8" s="166">
        <v>546.42857142857156</v>
      </c>
      <c r="S8" s="166">
        <v>574.45714285714303</v>
      </c>
      <c r="T8" s="166">
        <v>602.02857142857169</v>
      </c>
      <c r="U8" s="165">
        <v>629.14285714285734</v>
      </c>
      <c r="V8" s="167">
        <v>655.8</v>
      </c>
      <c r="W8" s="166">
        <v>682</v>
      </c>
      <c r="X8" s="166">
        <v>707.74285714285747</v>
      </c>
      <c r="Y8" s="166">
        <v>733.02857142857181</v>
      </c>
      <c r="Z8" s="166">
        <v>757.85714285714323</v>
      </c>
      <c r="AA8" s="166">
        <v>782.22857142857185</v>
      </c>
      <c r="AB8" s="166">
        <v>806.14285714285768</v>
      </c>
      <c r="AC8" s="166">
        <v>829.6</v>
      </c>
      <c r="AD8" s="166">
        <v>852.6</v>
      </c>
      <c r="AE8" s="165">
        <v>875.14285714285779</v>
      </c>
      <c r="AF8" s="167">
        <v>897.22857142857208</v>
      </c>
      <c r="AG8" s="166">
        <v>918.85714285714357</v>
      </c>
      <c r="AH8" s="166">
        <v>940.02857142857215</v>
      </c>
      <c r="AI8" s="166">
        <v>960.74285714285793</v>
      </c>
      <c r="AJ8" s="166">
        <v>981.00000000000091</v>
      </c>
      <c r="AK8" s="165">
        <v>1000.8</v>
      </c>
    </row>
    <row r="9" spans="1:37">
      <c r="A9" s="164">
        <v>5</v>
      </c>
      <c r="B9" s="163">
        <v>104.5</v>
      </c>
      <c r="C9" s="162">
        <v>113.42857142857142</v>
      </c>
      <c r="D9" s="162">
        <v>122.78571428571428</v>
      </c>
      <c r="E9" s="162">
        <v>162.57142857142856</v>
      </c>
      <c r="F9" s="162">
        <v>201.78571428571428</v>
      </c>
      <c r="G9" s="162">
        <v>240.42857142857142</v>
      </c>
      <c r="H9" s="162">
        <v>278.5</v>
      </c>
      <c r="I9" s="162">
        <v>316</v>
      </c>
      <c r="J9" s="162">
        <v>352.92857142857144</v>
      </c>
      <c r="K9" s="161">
        <v>389.28571428571433</v>
      </c>
      <c r="L9" s="163">
        <v>425.07142857142861</v>
      </c>
      <c r="M9" s="162">
        <v>460.28571428571433</v>
      </c>
      <c r="N9" s="162">
        <v>494.9285714285715</v>
      </c>
      <c r="O9" s="162">
        <v>529</v>
      </c>
      <c r="P9" s="162">
        <v>562.5</v>
      </c>
      <c r="Q9" s="162">
        <v>595.42857142857156</v>
      </c>
      <c r="R9" s="162">
        <v>627.78571428571445</v>
      </c>
      <c r="S9" s="162">
        <v>659.57142857142878</v>
      </c>
      <c r="T9" s="162">
        <v>690.78571428571456</v>
      </c>
      <c r="U9" s="161">
        <v>721.42857142857167</v>
      </c>
      <c r="V9" s="163">
        <v>751.5</v>
      </c>
      <c r="W9" s="162">
        <v>781</v>
      </c>
      <c r="X9" s="162">
        <v>809.92857142857179</v>
      </c>
      <c r="Y9" s="162">
        <v>838.28571428571468</v>
      </c>
      <c r="Z9" s="162">
        <v>866.07142857142901</v>
      </c>
      <c r="AA9" s="162">
        <v>893.28571428571479</v>
      </c>
      <c r="AB9" s="162">
        <v>919.92857142857201</v>
      </c>
      <c r="AC9" s="162">
        <v>946</v>
      </c>
      <c r="AD9" s="162">
        <v>971.5</v>
      </c>
      <c r="AE9" s="161">
        <v>996.42857142857213</v>
      </c>
      <c r="AF9" s="163">
        <v>1020.785714285715</v>
      </c>
      <c r="AG9" s="162">
        <v>1044.5714285714294</v>
      </c>
      <c r="AH9" s="162">
        <v>1067.7857142857151</v>
      </c>
      <c r="AI9" s="162">
        <v>1090.4285714285725</v>
      </c>
      <c r="AJ9" s="162">
        <v>1112.5</v>
      </c>
      <c r="AK9" s="161">
        <v>1134</v>
      </c>
    </row>
    <row r="10" spans="1:37">
      <c r="A10" s="164">
        <v>6</v>
      </c>
      <c r="B10" s="170">
        <v>105.4</v>
      </c>
      <c r="C10" s="169">
        <v>116.11428571428571</v>
      </c>
      <c r="D10" s="169">
        <v>140.14285714285714</v>
      </c>
      <c r="E10" s="169">
        <v>185.48571428571429</v>
      </c>
      <c r="F10" s="169">
        <v>230.14285714285714</v>
      </c>
      <c r="G10" s="169">
        <v>274.11428571428576</v>
      </c>
      <c r="H10" s="169">
        <v>317.39999999999998</v>
      </c>
      <c r="I10" s="169">
        <v>360</v>
      </c>
      <c r="J10" s="169">
        <v>401.91428571428577</v>
      </c>
      <c r="K10" s="168">
        <v>443.14285714285722</v>
      </c>
      <c r="L10" s="170">
        <v>483.68571428571437</v>
      </c>
      <c r="M10" s="169">
        <v>523.54285714285732</v>
      </c>
      <c r="N10" s="169">
        <v>562.71428571428589</v>
      </c>
      <c r="O10" s="169">
        <v>601.20000000000005</v>
      </c>
      <c r="P10" s="169">
        <v>639</v>
      </c>
      <c r="Q10" s="169">
        <v>676.11428571428598</v>
      </c>
      <c r="R10" s="169">
        <v>712.54285714285743</v>
      </c>
      <c r="S10" s="169">
        <v>748.28571428571456</v>
      </c>
      <c r="T10" s="169">
        <v>783.3428571428575</v>
      </c>
      <c r="U10" s="168">
        <v>817.71428571428612</v>
      </c>
      <c r="V10" s="170">
        <v>851.4</v>
      </c>
      <c r="W10" s="169">
        <v>884.4</v>
      </c>
      <c r="X10" s="169">
        <v>916.71428571428623</v>
      </c>
      <c r="Y10" s="169">
        <v>948.34285714285772</v>
      </c>
      <c r="Z10" s="169">
        <v>979.2857142857149</v>
      </c>
      <c r="AA10" s="169">
        <v>1009.5428571428579</v>
      </c>
      <c r="AB10" s="169">
        <v>1039.1142857142866</v>
      </c>
      <c r="AC10" s="169">
        <v>1068</v>
      </c>
      <c r="AD10" s="169">
        <v>1096.2</v>
      </c>
      <c r="AE10" s="168">
        <v>1123.7142857142867</v>
      </c>
      <c r="AF10" s="170">
        <v>1150.5428571428581</v>
      </c>
      <c r="AG10" s="169">
        <v>1176.6857142857154</v>
      </c>
      <c r="AH10" s="169">
        <v>1202.1428571428582</v>
      </c>
      <c r="AI10" s="169">
        <v>1226.914285714287</v>
      </c>
      <c r="AJ10" s="169">
        <v>1251</v>
      </c>
      <c r="AK10" s="168">
        <v>1274.4000000000001</v>
      </c>
    </row>
    <row r="11" spans="1:37">
      <c r="A11" s="164">
        <v>7</v>
      </c>
      <c r="B11" s="167">
        <v>105.5</v>
      </c>
      <c r="C11" s="166">
        <v>117.2</v>
      </c>
      <c r="D11" s="166">
        <v>155.1</v>
      </c>
      <c r="E11" s="166">
        <v>205.2</v>
      </c>
      <c r="F11" s="166">
        <v>254.5</v>
      </c>
      <c r="G11" s="166">
        <v>303</v>
      </c>
      <c r="H11" s="166">
        <v>350.7</v>
      </c>
      <c r="I11" s="166">
        <v>397.6</v>
      </c>
      <c r="J11" s="166">
        <v>443.7</v>
      </c>
      <c r="K11" s="165">
        <v>489</v>
      </c>
      <c r="L11" s="167">
        <v>533.5</v>
      </c>
      <c r="M11" s="166">
        <v>577.20000000000005</v>
      </c>
      <c r="N11" s="166">
        <v>620.1</v>
      </c>
      <c r="O11" s="166">
        <v>662.2</v>
      </c>
      <c r="P11" s="166">
        <v>703.5</v>
      </c>
      <c r="Q11" s="166">
        <v>744</v>
      </c>
      <c r="R11" s="166">
        <v>783.7</v>
      </c>
      <c r="S11" s="166">
        <v>822.6</v>
      </c>
      <c r="T11" s="166">
        <v>860.7</v>
      </c>
      <c r="U11" s="165">
        <v>898</v>
      </c>
      <c r="V11" s="167">
        <v>934.5</v>
      </c>
      <c r="W11" s="166">
        <v>970.2</v>
      </c>
      <c r="X11" s="166">
        <v>1005.1</v>
      </c>
      <c r="Y11" s="166">
        <v>1039.2</v>
      </c>
      <c r="Z11" s="166">
        <v>1072.5</v>
      </c>
      <c r="AA11" s="166">
        <v>1105</v>
      </c>
      <c r="AB11" s="166">
        <v>1136.7</v>
      </c>
      <c r="AC11" s="166">
        <v>1167.5999999999999</v>
      </c>
      <c r="AD11" s="166">
        <v>1197.7</v>
      </c>
      <c r="AE11" s="165">
        <v>1227</v>
      </c>
      <c r="AF11" s="167">
        <v>1255.5</v>
      </c>
      <c r="AG11" s="166">
        <v>1283.2</v>
      </c>
      <c r="AH11" s="166">
        <v>1310.0999999999999</v>
      </c>
      <c r="AI11" s="166">
        <v>1336.2</v>
      </c>
      <c r="AJ11" s="166">
        <v>1361.5</v>
      </c>
      <c r="AK11" s="165">
        <v>1386</v>
      </c>
    </row>
    <row r="12" spans="1:37">
      <c r="A12" s="164">
        <v>8</v>
      </c>
      <c r="B12" s="167">
        <v>105.6</v>
      </c>
      <c r="C12" s="166">
        <v>119.28571428571429</v>
      </c>
      <c r="D12" s="166">
        <v>170.05714285714288</v>
      </c>
      <c r="E12" s="166">
        <v>224.91428571428574</v>
      </c>
      <c r="F12" s="166">
        <v>278.85714285714289</v>
      </c>
      <c r="G12" s="166">
        <v>331.88571428571436</v>
      </c>
      <c r="H12" s="166">
        <v>384</v>
      </c>
      <c r="I12" s="166">
        <v>435.2</v>
      </c>
      <c r="J12" s="166">
        <v>485.48571428571444</v>
      </c>
      <c r="K12" s="165">
        <v>534.857142857143</v>
      </c>
      <c r="L12" s="167">
        <v>583.31428571428592</v>
      </c>
      <c r="M12" s="166">
        <v>630.85714285714312</v>
      </c>
      <c r="N12" s="166">
        <v>677.48571428571461</v>
      </c>
      <c r="O12" s="166">
        <v>723.2</v>
      </c>
      <c r="P12" s="166">
        <v>768</v>
      </c>
      <c r="Q12" s="166">
        <v>811.8857142857147</v>
      </c>
      <c r="R12" s="166">
        <v>854.85714285714334</v>
      </c>
      <c r="S12" s="166">
        <v>896.91428571428628</v>
      </c>
      <c r="T12" s="166">
        <v>938.05714285714339</v>
      </c>
      <c r="U12" s="165">
        <v>978.2857142857149</v>
      </c>
      <c r="V12" s="167">
        <v>1017.6</v>
      </c>
      <c r="W12" s="166">
        <v>1056</v>
      </c>
      <c r="X12" s="166">
        <v>1093.4857142857152</v>
      </c>
      <c r="Y12" s="166">
        <v>1130.0571428571438</v>
      </c>
      <c r="Z12" s="166">
        <v>1165.7142857142867</v>
      </c>
      <c r="AA12" s="166">
        <v>1200.4571428571439</v>
      </c>
      <c r="AB12" s="166">
        <v>1234.2857142857154</v>
      </c>
      <c r="AC12" s="166">
        <v>1267.2</v>
      </c>
      <c r="AD12" s="166">
        <v>1299.2</v>
      </c>
      <c r="AE12" s="165">
        <v>1330.2857142857158</v>
      </c>
      <c r="AF12" s="167">
        <v>1360.4571428571444</v>
      </c>
      <c r="AG12" s="166">
        <v>1389.7142857142874</v>
      </c>
      <c r="AH12" s="166">
        <v>1418.0571428571445</v>
      </c>
      <c r="AI12" s="166">
        <v>1445.4857142857161</v>
      </c>
      <c r="AJ12" s="166">
        <v>1472</v>
      </c>
      <c r="AK12" s="165">
        <v>1497.6</v>
      </c>
    </row>
    <row r="13" spans="1:37">
      <c r="A13" s="164">
        <v>9</v>
      </c>
      <c r="B13" s="167">
        <v>105.9</v>
      </c>
      <c r="C13" s="166">
        <v>126.77142857142859</v>
      </c>
      <c r="D13" s="166">
        <v>188.61428571428573</v>
      </c>
      <c r="E13" s="166">
        <v>249.42857142857147</v>
      </c>
      <c r="F13" s="166">
        <v>309.21428571428578</v>
      </c>
      <c r="G13" s="166">
        <v>367.97142857142865</v>
      </c>
      <c r="H13" s="166">
        <v>425.7</v>
      </c>
      <c r="I13" s="166">
        <v>482.4</v>
      </c>
      <c r="J13" s="166">
        <v>538.07142857142878</v>
      </c>
      <c r="K13" s="165">
        <v>592.71428571428589</v>
      </c>
      <c r="L13" s="167">
        <v>646.32857142857165</v>
      </c>
      <c r="M13" s="166">
        <v>698.91428571428605</v>
      </c>
      <c r="N13" s="166">
        <v>750.47142857142887</v>
      </c>
      <c r="O13" s="166">
        <v>801</v>
      </c>
      <c r="P13" s="166">
        <v>850.5</v>
      </c>
      <c r="Q13" s="166">
        <v>898.9714285714291</v>
      </c>
      <c r="R13" s="166">
        <v>946.41428571428628</v>
      </c>
      <c r="S13" s="166">
        <v>992.8285714285721</v>
      </c>
      <c r="T13" s="166">
        <v>1038.2142857142865</v>
      </c>
      <c r="U13" s="165">
        <v>1082.5714285714294</v>
      </c>
      <c r="V13" s="167">
        <v>1125.9000000000001</v>
      </c>
      <c r="W13" s="166">
        <v>1168.2</v>
      </c>
      <c r="X13" s="166">
        <v>1209.4714285714297</v>
      </c>
      <c r="Y13" s="166">
        <v>1249.7142857142869</v>
      </c>
      <c r="Z13" s="166">
        <v>1288.9285714285727</v>
      </c>
      <c r="AA13" s="166">
        <v>1327.114285714287</v>
      </c>
      <c r="AB13" s="166">
        <v>1364.2714285714301</v>
      </c>
      <c r="AC13" s="166">
        <v>1400.4</v>
      </c>
      <c r="AD13" s="166">
        <v>1435.5</v>
      </c>
      <c r="AE13" s="165">
        <v>1469.5714285714303</v>
      </c>
      <c r="AF13" s="167">
        <v>1502.6142857142875</v>
      </c>
      <c r="AG13" s="166">
        <v>1534.6285714285734</v>
      </c>
      <c r="AH13" s="166">
        <v>1565.6142857142877</v>
      </c>
      <c r="AI13" s="166">
        <v>1595.5714285714307</v>
      </c>
      <c r="AJ13" s="166">
        <v>1624.5</v>
      </c>
      <c r="AK13" s="165">
        <v>1652.4</v>
      </c>
    </row>
    <row r="14" spans="1:37">
      <c r="A14" s="164">
        <v>10</v>
      </c>
      <c r="B14" s="163">
        <v>106.5</v>
      </c>
      <c r="C14" s="162">
        <v>139.85714285714286</v>
      </c>
      <c r="D14" s="162">
        <v>208.07142857142858</v>
      </c>
      <c r="E14" s="162">
        <v>275.14285714285717</v>
      </c>
      <c r="F14" s="162">
        <v>341.07142857142861</v>
      </c>
      <c r="G14" s="162">
        <v>405.85714285714289</v>
      </c>
      <c r="H14" s="162">
        <v>469.5</v>
      </c>
      <c r="I14" s="162">
        <v>532</v>
      </c>
      <c r="J14" s="162">
        <v>593.357142857143</v>
      </c>
      <c r="K14" s="161">
        <v>653.57142857142878</v>
      </c>
      <c r="L14" s="163">
        <v>712.64285714285734</v>
      </c>
      <c r="M14" s="162">
        <v>770.57142857142878</v>
      </c>
      <c r="N14" s="162">
        <v>827.35714285714312</v>
      </c>
      <c r="O14" s="162">
        <v>883</v>
      </c>
      <c r="P14" s="162">
        <v>937.5</v>
      </c>
      <c r="Q14" s="162">
        <v>990.85714285714334</v>
      </c>
      <c r="R14" s="162">
        <v>1043.0714285714291</v>
      </c>
      <c r="S14" s="162">
        <v>1094.1428571428578</v>
      </c>
      <c r="T14" s="162">
        <v>1144.0714285714291</v>
      </c>
      <c r="U14" s="161">
        <v>1192.8571428571436</v>
      </c>
      <c r="V14" s="163">
        <v>1240.5</v>
      </c>
      <c r="W14" s="162">
        <v>1287</v>
      </c>
      <c r="X14" s="162">
        <v>1332.3571428571438</v>
      </c>
      <c r="Y14" s="162">
        <v>1376.5714285714296</v>
      </c>
      <c r="Z14" s="162">
        <v>1419.6428571428582</v>
      </c>
      <c r="AA14" s="162">
        <v>1461.5714285714298</v>
      </c>
      <c r="AB14" s="162">
        <v>1502.3571428571443</v>
      </c>
      <c r="AC14" s="162">
        <v>1542</v>
      </c>
      <c r="AD14" s="162">
        <v>1580.5</v>
      </c>
      <c r="AE14" s="161">
        <v>1617.8571428571445</v>
      </c>
      <c r="AF14" s="163">
        <v>1654.0714285714305</v>
      </c>
      <c r="AG14" s="162">
        <v>1689.1428571428592</v>
      </c>
      <c r="AH14" s="162">
        <v>1723.0714285714307</v>
      </c>
      <c r="AI14" s="162">
        <v>1755.8571428571452</v>
      </c>
      <c r="AJ14" s="162">
        <v>1787.5</v>
      </c>
      <c r="AK14" s="161">
        <v>1818</v>
      </c>
    </row>
    <row r="15" spans="1:37">
      <c r="A15" s="164">
        <v>11</v>
      </c>
      <c r="B15" s="170">
        <v>108</v>
      </c>
      <c r="C15" s="169">
        <v>152.74285714285713</v>
      </c>
      <c r="D15" s="169">
        <v>227.22857142857146</v>
      </c>
      <c r="E15" s="169">
        <v>300.45714285714291</v>
      </c>
      <c r="F15" s="169">
        <v>372.42857142857144</v>
      </c>
      <c r="G15" s="169">
        <v>443.14285714285722</v>
      </c>
      <c r="H15" s="169">
        <v>512.6</v>
      </c>
      <c r="I15" s="169">
        <v>580.79999999999995</v>
      </c>
      <c r="J15" s="169">
        <v>647.74285714285725</v>
      </c>
      <c r="K15" s="168">
        <v>713.42857142857167</v>
      </c>
      <c r="L15" s="170">
        <v>777.85714285714312</v>
      </c>
      <c r="M15" s="169">
        <v>841.02857142857169</v>
      </c>
      <c r="N15" s="169">
        <v>902.94285714285752</v>
      </c>
      <c r="O15" s="169">
        <v>963.6</v>
      </c>
      <c r="P15" s="169">
        <v>1023</v>
      </c>
      <c r="Q15" s="169">
        <v>1081.1428571428578</v>
      </c>
      <c r="R15" s="169">
        <v>1138.0285714285719</v>
      </c>
      <c r="S15" s="169">
        <v>1193.6571428571435</v>
      </c>
      <c r="T15" s="169">
        <v>1248.0285714285721</v>
      </c>
      <c r="U15" s="168">
        <v>1301.142857142858</v>
      </c>
      <c r="V15" s="170">
        <v>1353</v>
      </c>
      <c r="W15" s="169">
        <v>1403.6</v>
      </c>
      <c r="X15" s="169">
        <v>1452.9428571428582</v>
      </c>
      <c r="Y15" s="169">
        <v>1501.0285714285726</v>
      </c>
      <c r="Z15" s="169">
        <v>1547.8571428571443</v>
      </c>
      <c r="AA15" s="169">
        <v>1593.4285714285729</v>
      </c>
      <c r="AB15" s="169">
        <v>1637.7428571428586</v>
      </c>
      <c r="AC15" s="169">
        <v>1680.8</v>
      </c>
      <c r="AD15" s="169">
        <v>1722.6</v>
      </c>
      <c r="AE15" s="168">
        <v>1763.1428571428592</v>
      </c>
      <c r="AF15" s="170">
        <v>1802.4285714285736</v>
      </c>
      <c r="AG15" s="169">
        <v>1840.4571428571451</v>
      </c>
      <c r="AH15" s="169">
        <v>1877.2285714285738</v>
      </c>
      <c r="AI15" s="169">
        <v>1912.7428571428597</v>
      </c>
      <c r="AJ15" s="169">
        <v>1947</v>
      </c>
      <c r="AK15" s="168">
        <v>1980</v>
      </c>
    </row>
    <row r="16" spans="1:37">
      <c r="A16" s="164">
        <v>12</v>
      </c>
      <c r="B16" s="167">
        <v>109.6</v>
      </c>
      <c r="C16" s="166">
        <v>167.82857142857142</v>
      </c>
      <c r="D16" s="166">
        <v>249.68571428571428</v>
      </c>
      <c r="E16" s="166">
        <v>330.17142857142858</v>
      </c>
      <c r="F16" s="166">
        <v>409.28571428571433</v>
      </c>
      <c r="G16" s="166">
        <v>487.02857142857147</v>
      </c>
      <c r="H16" s="166">
        <v>563.4</v>
      </c>
      <c r="I16" s="166">
        <v>638.4</v>
      </c>
      <c r="J16" s="166">
        <v>712.02857142857158</v>
      </c>
      <c r="K16" s="165">
        <v>784.28571428571445</v>
      </c>
      <c r="L16" s="167">
        <v>855.17142857142881</v>
      </c>
      <c r="M16" s="166">
        <v>924.68571428571454</v>
      </c>
      <c r="N16" s="166">
        <v>992.82857142857176</v>
      </c>
      <c r="O16" s="166">
        <v>1059.5999999999999</v>
      </c>
      <c r="P16" s="166">
        <v>1125</v>
      </c>
      <c r="Q16" s="166">
        <v>1189.0285714285719</v>
      </c>
      <c r="R16" s="166">
        <v>1251.685714285715</v>
      </c>
      <c r="S16" s="166">
        <v>1312.9714285714292</v>
      </c>
      <c r="T16" s="166">
        <v>1372.885714285715</v>
      </c>
      <c r="U16" s="165">
        <v>1431.4285714285722</v>
      </c>
      <c r="V16" s="167">
        <v>1488.6</v>
      </c>
      <c r="W16" s="166">
        <v>1544.4</v>
      </c>
      <c r="X16" s="166">
        <v>1598.8285714285726</v>
      </c>
      <c r="Y16" s="166">
        <v>1651.8857142857155</v>
      </c>
      <c r="Z16" s="166">
        <v>1703.57142857143</v>
      </c>
      <c r="AA16" s="166">
        <v>1753.8857142857157</v>
      </c>
      <c r="AB16" s="166">
        <v>1802.828571428573</v>
      </c>
      <c r="AC16" s="166">
        <v>1850.4</v>
      </c>
      <c r="AD16" s="166">
        <v>1896.6</v>
      </c>
      <c r="AE16" s="165">
        <v>1941.4285714285734</v>
      </c>
      <c r="AF16" s="167">
        <v>1984.8857142857164</v>
      </c>
      <c r="AG16" s="166">
        <v>2026.9714285714308</v>
      </c>
      <c r="AH16" s="166">
        <v>2067.6857142857166</v>
      </c>
      <c r="AI16" s="166">
        <v>2107.0285714285742</v>
      </c>
      <c r="AJ16" s="166">
        <v>2145</v>
      </c>
      <c r="AK16" s="165">
        <v>2181.6</v>
      </c>
    </row>
    <row r="17" spans="1:37">
      <c r="A17" s="164">
        <v>13</v>
      </c>
      <c r="B17" s="167">
        <v>110.3</v>
      </c>
      <c r="C17" s="166">
        <v>183.11428571428573</v>
      </c>
      <c r="D17" s="166">
        <v>272.44285714285718</v>
      </c>
      <c r="E17" s="166">
        <v>360.28571428571433</v>
      </c>
      <c r="F17" s="166">
        <v>446.64285714285722</v>
      </c>
      <c r="G17" s="166">
        <v>531.51428571428585</v>
      </c>
      <c r="H17" s="166">
        <v>614.9</v>
      </c>
      <c r="I17" s="166">
        <v>696.8</v>
      </c>
      <c r="J17" s="166">
        <v>777.21428571428601</v>
      </c>
      <c r="K17" s="165">
        <v>856.14285714285745</v>
      </c>
      <c r="L17" s="167">
        <v>933.58571428571463</v>
      </c>
      <c r="M17" s="166">
        <v>1009.5428571428575</v>
      </c>
      <c r="N17" s="166">
        <v>1084.0142857142862</v>
      </c>
      <c r="O17" s="166">
        <v>1157</v>
      </c>
      <c r="P17" s="166">
        <v>1228.5</v>
      </c>
      <c r="Q17" s="166">
        <v>1298.5142857142864</v>
      </c>
      <c r="R17" s="166">
        <v>1367.0428571428579</v>
      </c>
      <c r="S17" s="166">
        <v>1434.0857142857153</v>
      </c>
      <c r="T17" s="166">
        <v>1499.6428571428582</v>
      </c>
      <c r="U17" s="165">
        <v>1563.7142857142869</v>
      </c>
      <c r="V17" s="167">
        <v>1626.3</v>
      </c>
      <c r="W17" s="166">
        <v>1687.4</v>
      </c>
      <c r="X17" s="166">
        <v>1747.0142857142871</v>
      </c>
      <c r="Y17" s="166">
        <v>1805.1428571428587</v>
      </c>
      <c r="Z17" s="166">
        <v>1861.785714285716</v>
      </c>
      <c r="AA17" s="166">
        <v>1916.9428571428591</v>
      </c>
      <c r="AB17" s="166">
        <v>1970.6142857142877</v>
      </c>
      <c r="AC17" s="166">
        <v>2022.8</v>
      </c>
      <c r="AD17" s="166">
        <v>2073.5</v>
      </c>
      <c r="AE17" s="165">
        <v>2122.7142857142881</v>
      </c>
      <c r="AF17" s="167">
        <v>2170.4428571428598</v>
      </c>
      <c r="AG17" s="166">
        <v>2216.685714285717</v>
      </c>
      <c r="AH17" s="166">
        <v>2261.4428571428602</v>
      </c>
      <c r="AI17" s="166">
        <v>2304.714285714289</v>
      </c>
      <c r="AJ17" s="166">
        <v>2346.5</v>
      </c>
      <c r="AK17" s="165">
        <v>2386.8000000000002</v>
      </c>
    </row>
    <row r="18" spans="1:37">
      <c r="A18" s="164">
        <v>14</v>
      </c>
      <c r="B18" s="167">
        <v>112.1</v>
      </c>
      <c r="C18" s="166">
        <v>198.6</v>
      </c>
      <c r="D18" s="166">
        <v>295.5</v>
      </c>
      <c r="E18" s="166">
        <v>390.8</v>
      </c>
      <c r="F18" s="166">
        <v>484.5</v>
      </c>
      <c r="G18" s="166">
        <v>576.6</v>
      </c>
      <c r="H18" s="166">
        <v>667.1</v>
      </c>
      <c r="I18" s="166">
        <v>756</v>
      </c>
      <c r="J18" s="166">
        <v>843.3</v>
      </c>
      <c r="K18" s="165">
        <v>929</v>
      </c>
      <c r="L18" s="167">
        <v>1013.1</v>
      </c>
      <c r="M18" s="166">
        <v>1095.5999999999999</v>
      </c>
      <c r="N18" s="166">
        <v>1176.5</v>
      </c>
      <c r="O18" s="166">
        <v>1255.8</v>
      </c>
      <c r="P18" s="166">
        <v>1333.5</v>
      </c>
      <c r="Q18" s="166">
        <v>1409.6</v>
      </c>
      <c r="R18" s="166">
        <v>1484.1</v>
      </c>
      <c r="S18" s="166">
        <v>1557</v>
      </c>
      <c r="T18" s="166">
        <v>1628.3</v>
      </c>
      <c r="U18" s="165">
        <v>1698</v>
      </c>
      <c r="V18" s="167">
        <v>1766.1</v>
      </c>
      <c r="W18" s="166">
        <v>1832.6</v>
      </c>
      <c r="X18" s="166">
        <v>1897.5</v>
      </c>
      <c r="Y18" s="166">
        <v>1960.8</v>
      </c>
      <c r="Z18" s="166">
        <v>2022.5</v>
      </c>
      <c r="AA18" s="166">
        <v>2082.6</v>
      </c>
      <c r="AB18" s="166">
        <v>2141.1</v>
      </c>
      <c r="AC18" s="166">
        <v>2198</v>
      </c>
      <c r="AD18" s="166">
        <v>2253.3000000000002</v>
      </c>
      <c r="AE18" s="165">
        <v>2307</v>
      </c>
      <c r="AF18" s="167">
        <v>2359.1</v>
      </c>
      <c r="AG18" s="166">
        <v>2409.6</v>
      </c>
      <c r="AH18" s="166">
        <v>2458.5</v>
      </c>
      <c r="AI18" s="166">
        <v>2505.8000000000002</v>
      </c>
      <c r="AJ18" s="166">
        <v>2551.5</v>
      </c>
      <c r="AK18" s="165">
        <v>2595.6</v>
      </c>
    </row>
    <row r="19" spans="1:37">
      <c r="A19" s="164">
        <v>15</v>
      </c>
      <c r="B19" s="163">
        <v>113</v>
      </c>
      <c r="C19" s="162">
        <v>214.28571428571431</v>
      </c>
      <c r="D19" s="162">
        <v>318.85714285714289</v>
      </c>
      <c r="E19" s="162">
        <v>421.71428571428578</v>
      </c>
      <c r="F19" s="162">
        <v>522.85714285714289</v>
      </c>
      <c r="G19" s="162">
        <v>622.28571428571445</v>
      </c>
      <c r="H19" s="162">
        <v>720</v>
      </c>
      <c r="I19" s="162">
        <v>816</v>
      </c>
      <c r="J19" s="162">
        <v>910.28571428571456</v>
      </c>
      <c r="K19" s="161">
        <v>1002.8571428571431</v>
      </c>
      <c r="L19" s="163">
        <v>1093.714285714286</v>
      </c>
      <c r="M19" s="162">
        <v>1182.8571428571433</v>
      </c>
      <c r="N19" s="162">
        <v>1270.2857142857149</v>
      </c>
      <c r="O19" s="162">
        <v>1356</v>
      </c>
      <c r="P19" s="162">
        <v>1440</v>
      </c>
      <c r="Q19" s="162">
        <v>1522.2857142857151</v>
      </c>
      <c r="R19" s="162">
        <v>1602.8571428571438</v>
      </c>
      <c r="S19" s="162">
        <v>1681.7142857142867</v>
      </c>
      <c r="T19" s="162">
        <v>1758.857142857144</v>
      </c>
      <c r="U19" s="161">
        <v>1834.2857142857156</v>
      </c>
      <c r="V19" s="163">
        <v>1908</v>
      </c>
      <c r="W19" s="162">
        <v>1980</v>
      </c>
      <c r="X19" s="162">
        <v>2050.285714285716</v>
      </c>
      <c r="Y19" s="162">
        <v>2118.8571428571445</v>
      </c>
      <c r="Z19" s="162">
        <v>2185.7142857142876</v>
      </c>
      <c r="AA19" s="162">
        <v>2250.8571428571449</v>
      </c>
      <c r="AB19" s="162">
        <v>2314.2857142857165</v>
      </c>
      <c r="AC19" s="162">
        <v>2376</v>
      </c>
      <c r="AD19" s="162">
        <v>2436</v>
      </c>
      <c r="AE19" s="161">
        <v>2494.2857142857169</v>
      </c>
      <c r="AF19" s="163">
        <v>2550.8571428571458</v>
      </c>
      <c r="AG19" s="162">
        <v>2605.714285714289</v>
      </c>
      <c r="AH19" s="162">
        <v>2658.8571428571463</v>
      </c>
      <c r="AI19" s="162">
        <v>2710.2857142857179</v>
      </c>
      <c r="AJ19" s="162">
        <v>2760</v>
      </c>
      <c r="AK19" s="161">
        <v>2808</v>
      </c>
    </row>
    <row r="20" spans="1:37">
      <c r="A20" s="164">
        <v>16</v>
      </c>
      <c r="B20" s="170">
        <v>118</v>
      </c>
      <c r="C20" s="169">
        <v>230.17142857142858</v>
      </c>
      <c r="D20" s="169">
        <v>342.51428571428573</v>
      </c>
      <c r="E20" s="169">
        <v>453.02857142857147</v>
      </c>
      <c r="F20" s="169">
        <v>561.71428571428578</v>
      </c>
      <c r="G20" s="169">
        <v>668.57142857142867</v>
      </c>
      <c r="H20" s="169">
        <v>773.6</v>
      </c>
      <c r="I20" s="169">
        <v>876.8</v>
      </c>
      <c r="J20" s="169">
        <v>978.17142857142881</v>
      </c>
      <c r="K20" s="168">
        <v>1077.714285714286</v>
      </c>
      <c r="L20" s="170">
        <v>1175.4285714285718</v>
      </c>
      <c r="M20" s="169">
        <v>1271.3142857142861</v>
      </c>
      <c r="N20" s="169">
        <v>1365.3714285714291</v>
      </c>
      <c r="O20" s="169">
        <v>1457.6</v>
      </c>
      <c r="P20" s="169">
        <v>1548</v>
      </c>
      <c r="Q20" s="169">
        <v>1636.5714285714294</v>
      </c>
      <c r="R20" s="169">
        <v>1723.3142857142866</v>
      </c>
      <c r="S20" s="169">
        <v>1808.2285714285724</v>
      </c>
      <c r="T20" s="169">
        <v>1891.3142857142868</v>
      </c>
      <c r="U20" s="168">
        <v>1972.5714285714298</v>
      </c>
      <c r="V20" s="170">
        <v>2052</v>
      </c>
      <c r="W20" s="169">
        <v>2129.6</v>
      </c>
      <c r="X20" s="169">
        <v>2205.3714285714304</v>
      </c>
      <c r="Y20" s="169">
        <v>2279.3142857142875</v>
      </c>
      <c r="Z20" s="169">
        <v>2351.4285714285734</v>
      </c>
      <c r="AA20" s="169">
        <v>2421.7142857142881</v>
      </c>
      <c r="AB20" s="169">
        <v>2490.1714285714306</v>
      </c>
      <c r="AC20" s="169">
        <v>2556.8000000000002</v>
      </c>
      <c r="AD20" s="169">
        <v>2621.6</v>
      </c>
      <c r="AE20" s="168">
        <v>2684.5714285714312</v>
      </c>
      <c r="AF20" s="170">
        <v>2745.714285714289</v>
      </c>
      <c r="AG20" s="169">
        <v>2805.0285714285747</v>
      </c>
      <c r="AH20" s="169">
        <v>2862.5142857142891</v>
      </c>
      <c r="AI20" s="169">
        <v>2918.1714285714324</v>
      </c>
      <c r="AJ20" s="169">
        <v>2972</v>
      </c>
      <c r="AK20" s="168">
        <v>3024</v>
      </c>
    </row>
    <row r="21" spans="1:37">
      <c r="A21" s="164">
        <v>17</v>
      </c>
      <c r="B21" s="167">
        <v>124.1</v>
      </c>
      <c r="C21" s="166">
        <v>246.25714285714287</v>
      </c>
      <c r="D21" s="166">
        <v>366.47142857142859</v>
      </c>
      <c r="E21" s="166">
        <v>484.74285714285719</v>
      </c>
      <c r="F21" s="166">
        <v>601.07142857142867</v>
      </c>
      <c r="G21" s="166">
        <v>715.45714285714291</v>
      </c>
      <c r="H21" s="166">
        <v>827.9</v>
      </c>
      <c r="I21" s="166">
        <v>938.4</v>
      </c>
      <c r="J21" s="166">
        <v>1046.957142857143</v>
      </c>
      <c r="K21" s="165">
        <v>1153.5714285714289</v>
      </c>
      <c r="L21" s="167">
        <v>1258.2428571428575</v>
      </c>
      <c r="M21" s="166">
        <v>1360.971428571429</v>
      </c>
      <c r="N21" s="166">
        <v>1461.7571428571434</v>
      </c>
      <c r="O21" s="166">
        <v>1560.6</v>
      </c>
      <c r="P21" s="166">
        <v>1657.5</v>
      </c>
      <c r="Q21" s="166">
        <v>1752.4571428571437</v>
      </c>
      <c r="R21" s="166">
        <v>1845.4714285714294</v>
      </c>
      <c r="S21" s="166">
        <v>1936.5428571428581</v>
      </c>
      <c r="T21" s="166">
        <v>2025.6714285714297</v>
      </c>
      <c r="U21" s="165">
        <v>2112.857142857144</v>
      </c>
      <c r="V21" s="167">
        <v>2198.1</v>
      </c>
      <c r="W21" s="166">
        <v>2281.4</v>
      </c>
      <c r="X21" s="166">
        <v>2362.7571428571446</v>
      </c>
      <c r="Y21" s="166">
        <v>2442.1714285714306</v>
      </c>
      <c r="Z21" s="166">
        <v>2519.6428571428592</v>
      </c>
      <c r="AA21" s="166">
        <v>2595.1714285714306</v>
      </c>
      <c r="AB21" s="166">
        <v>2668.757142857145</v>
      </c>
      <c r="AC21" s="166">
        <v>2740.4</v>
      </c>
      <c r="AD21" s="166">
        <v>2810.1</v>
      </c>
      <c r="AE21" s="165">
        <v>2877.8571428571458</v>
      </c>
      <c r="AF21" s="167">
        <v>2943.6714285714315</v>
      </c>
      <c r="AG21" s="166">
        <v>3007.5428571428606</v>
      </c>
      <c r="AH21" s="166">
        <v>3069.4714285714322</v>
      </c>
      <c r="AI21" s="166">
        <v>3129.4571428571467</v>
      </c>
      <c r="AJ21" s="166">
        <v>3187.5</v>
      </c>
      <c r="AK21" s="165">
        <v>3243.6</v>
      </c>
    </row>
    <row r="22" spans="1:37">
      <c r="A22" s="164">
        <v>18</v>
      </c>
      <c r="B22" s="167">
        <v>133.19999999999999</v>
      </c>
      <c r="C22" s="166">
        <v>264.34285714285716</v>
      </c>
      <c r="D22" s="166">
        <v>393.42857142857144</v>
      </c>
      <c r="E22" s="166">
        <v>520.45714285714291</v>
      </c>
      <c r="F22" s="166">
        <v>645.42857142857156</v>
      </c>
      <c r="G22" s="166">
        <v>768.34285714285727</v>
      </c>
      <c r="H22" s="166">
        <v>889.2</v>
      </c>
      <c r="I22" s="166">
        <v>1008</v>
      </c>
      <c r="J22" s="166">
        <v>1124.7428571428575</v>
      </c>
      <c r="K22" s="165">
        <v>1239.4285714285718</v>
      </c>
      <c r="L22" s="167">
        <v>1352.0571428571434</v>
      </c>
      <c r="M22" s="166">
        <v>1462.6285714285721</v>
      </c>
      <c r="N22" s="166">
        <v>1571.1428571428578</v>
      </c>
      <c r="O22" s="166">
        <v>1677.6</v>
      </c>
      <c r="P22" s="166">
        <v>1782</v>
      </c>
      <c r="Q22" s="166">
        <v>1884.3428571428581</v>
      </c>
      <c r="R22" s="166">
        <v>1984.6285714285725</v>
      </c>
      <c r="S22" s="166">
        <v>2082.857142857144</v>
      </c>
      <c r="T22" s="166">
        <v>2179.0285714285728</v>
      </c>
      <c r="U22" s="165">
        <v>2273.1428571428587</v>
      </c>
      <c r="V22" s="167">
        <v>2365.1999999999998</v>
      </c>
      <c r="W22" s="166">
        <v>2455.1999999999998</v>
      </c>
      <c r="X22" s="166">
        <v>2543.1428571428592</v>
      </c>
      <c r="Y22" s="166">
        <v>2629.0285714285737</v>
      </c>
      <c r="Z22" s="166">
        <v>2712.8571428571454</v>
      </c>
      <c r="AA22" s="166">
        <v>2794.6285714285741</v>
      </c>
      <c r="AB22" s="166">
        <v>2874.3428571428599</v>
      </c>
      <c r="AC22" s="166">
        <v>2952</v>
      </c>
      <c r="AD22" s="166">
        <v>3027.6</v>
      </c>
      <c r="AE22" s="165">
        <v>3101.1428571428605</v>
      </c>
      <c r="AF22" s="167">
        <v>3172.628571428575</v>
      </c>
      <c r="AG22" s="166">
        <v>3242.0571428571466</v>
      </c>
      <c r="AH22" s="166">
        <v>3309.4285714285757</v>
      </c>
      <c r="AI22" s="166">
        <v>3374.7428571428613</v>
      </c>
      <c r="AJ22" s="166">
        <v>3438</v>
      </c>
      <c r="AK22" s="165">
        <v>3499.2</v>
      </c>
    </row>
    <row r="23" spans="1:37">
      <c r="A23" s="164">
        <v>19</v>
      </c>
      <c r="B23" s="167">
        <v>142.5</v>
      </c>
      <c r="C23" s="166">
        <v>282.82857142857142</v>
      </c>
      <c r="D23" s="166">
        <v>420.98571428571432</v>
      </c>
      <c r="E23" s="166">
        <v>556.97142857142865</v>
      </c>
      <c r="F23" s="166">
        <v>690.78571428571433</v>
      </c>
      <c r="G23" s="166">
        <v>822.42857142857156</v>
      </c>
      <c r="H23" s="166">
        <v>951.9</v>
      </c>
      <c r="I23" s="166">
        <v>1079.2</v>
      </c>
      <c r="J23" s="166">
        <v>1204.3285714285716</v>
      </c>
      <c r="K23" s="165">
        <v>1327.2857142857147</v>
      </c>
      <c r="L23" s="167">
        <v>1448.0714285714289</v>
      </c>
      <c r="M23" s="166">
        <v>1566.6857142857148</v>
      </c>
      <c r="N23" s="166">
        <v>1683.1285714285721</v>
      </c>
      <c r="O23" s="166">
        <v>1797.4</v>
      </c>
      <c r="P23" s="166">
        <v>1909.5</v>
      </c>
      <c r="Q23" s="166">
        <v>2019.4285714285725</v>
      </c>
      <c r="R23" s="166">
        <v>2127.1857142857152</v>
      </c>
      <c r="S23" s="166">
        <v>2232.7714285714296</v>
      </c>
      <c r="T23" s="166">
        <v>2336.1857142857157</v>
      </c>
      <c r="U23" s="165">
        <v>2437.4285714285729</v>
      </c>
      <c r="V23" s="167">
        <v>2536.5</v>
      </c>
      <c r="W23" s="166">
        <v>2633.4</v>
      </c>
      <c r="X23" s="166">
        <v>2728.1285714285732</v>
      </c>
      <c r="Y23" s="166">
        <v>2820.6857142857166</v>
      </c>
      <c r="Z23" s="166">
        <v>2911.0714285714307</v>
      </c>
      <c r="AA23" s="166">
        <v>2999.2857142857169</v>
      </c>
      <c r="AB23" s="166">
        <v>3085.3285714285739</v>
      </c>
      <c r="AC23" s="166">
        <v>3169.2</v>
      </c>
      <c r="AD23" s="166">
        <v>3250.9</v>
      </c>
      <c r="AE23" s="165">
        <v>3330.4285714285747</v>
      </c>
      <c r="AF23" s="167">
        <v>3407.7857142857179</v>
      </c>
      <c r="AG23" s="166">
        <v>3482.9714285714326</v>
      </c>
      <c r="AH23" s="166">
        <v>3555.9857142857181</v>
      </c>
      <c r="AI23" s="166">
        <v>3626.8285714285757</v>
      </c>
      <c r="AJ23" s="166">
        <v>3695.5</v>
      </c>
      <c r="AK23" s="165">
        <v>3762.000000000005</v>
      </c>
    </row>
    <row r="24" spans="1:37">
      <c r="A24" s="164">
        <v>20</v>
      </c>
      <c r="B24" s="163">
        <v>152</v>
      </c>
      <c r="C24" s="162">
        <v>301.71428571428572</v>
      </c>
      <c r="D24" s="162">
        <v>449.14285714285722</v>
      </c>
      <c r="E24" s="162">
        <v>594.28571428571433</v>
      </c>
      <c r="F24" s="162">
        <v>737.14285714285722</v>
      </c>
      <c r="G24" s="162">
        <v>877.71428571428589</v>
      </c>
      <c r="H24" s="162">
        <v>1016</v>
      </c>
      <c r="I24" s="162">
        <v>1152</v>
      </c>
      <c r="J24" s="162">
        <v>1285.714285714286</v>
      </c>
      <c r="K24" s="161">
        <v>1417.1428571428576</v>
      </c>
      <c r="L24" s="163">
        <v>1546.2857142857149</v>
      </c>
      <c r="M24" s="162">
        <v>1673.1428571428578</v>
      </c>
      <c r="N24" s="162">
        <v>1797.7142857142865</v>
      </c>
      <c r="O24" s="162">
        <v>1920</v>
      </c>
      <c r="P24" s="162">
        <v>2040</v>
      </c>
      <c r="Q24" s="162">
        <v>2157.7142857142867</v>
      </c>
      <c r="R24" s="162">
        <v>2273.1428571428582</v>
      </c>
      <c r="S24" s="162">
        <v>2386.2857142857156</v>
      </c>
      <c r="T24" s="162">
        <v>2497.1428571428587</v>
      </c>
      <c r="U24" s="161">
        <v>2605.7142857142876</v>
      </c>
      <c r="V24" s="163">
        <v>2712</v>
      </c>
      <c r="W24" s="162">
        <v>2816</v>
      </c>
      <c r="X24" s="162">
        <v>2917.7142857142881</v>
      </c>
      <c r="Y24" s="162">
        <v>3017.1428571428596</v>
      </c>
      <c r="Z24" s="162">
        <v>3114.2857142857169</v>
      </c>
      <c r="AA24" s="162">
        <v>3209.1428571428601</v>
      </c>
      <c r="AB24" s="162">
        <v>3301.714285714289</v>
      </c>
      <c r="AC24" s="162">
        <v>3392</v>
      </c>
      <c r="AD24" s="162">
        <v>3480</v>
      </c>
      <c r="AE24" s="161">
        <v>3565.7142857142894</v>
      </c>
      <c r="AF24" s="163">
        <v>3649.1428571428614</v>
      </c>
      <c r="AG24" s="162">
        <v>3730.2857142857188</v>
      </c>
      <c r="AH24" s="162">
        <v>3809.1428571428619</v>
      </c>
      <c r="AI24" s="162">
        <v>3885.7142857142908</v>
      </c>
      <c r="AJ24" s="162">
        <v>3960.000000000005</v>
      </c>
      <c r="AK24" s="161">
        <v>4032.0000000000055</v>
      </c>
    </row>
    <row r="25" spans="1:37">
      <c r="A25" s="164">
        <v>21</v>
      </c>
      <c r="B25" s="170">
        <v>162.75</v>
      </c>
      <c r="C25" s="169">
        <v>323.10000000000002</v>
      </c>
      <c r="D25" s="169">
        <v>481.05</v>
      </c>
      <c r="E25" s="169">
        <v>636.6</v>
      </c>
      <c r="F25" s="169">
        <v>789.75</v>
      </c>
      <c r="G25" s="169">
        <v>940.5</v>
      </c>
      <c r="H25" s="169">
        <v>1088.8499999999999</v>
      </c>
      <c r="I25" s="169">
        <v>1234.8</v>
      </c>
      <c r="J25" s="169">
        <v>1378.35</v>
      </c>
      <c r="K25" s="168">
        <v>1519.5</v>
      </c>
      <c r="L25" s="170">
        <v>1658.25</v>
      </c>
      <c r="M25" s="169">
        <v>1794.6</v>
      </c>
      <c r="N25" s="169">
        <v>1928.55</v>
      </c>
      <c r="O25" s="169">
        <v>2060.1</v>
      </c>
      <c r="P25" s="169">
        <v>2189.25</v>
      </c>
      <c r="Q25" s="169">
        <v>2316</v>
      </c>
      <c r="R25" s="169">
        <v>2440.35</v>
      </c>
      <c r="S25" s="169">
        <v>2562.3000000000002</v>
      </c>
      <c r="T25" s="169">
        <v>2681.85</v>
      </c>
      <c r="U25" s="168">
        <v>2799</v>
      </c>
      <c r="V25" s="170">
        <v>2913.75</v>
      </c>
      <c r="W25" s="169">
        <v>3026.1</v>
      </c>
      <c r="X25" s="169">
        <v>3136.05</v>
      </c>
      <c r="Y25" s="169">
        <v>3243.6</v>
      </c>
      <c r="Z25" s="169">
        <v>3348.75</v>
      </c>
      <c r="AA25" s="169">
        <v>3451.5</v>
      </c>
      <c r="AB25" s="169">
        <v>3551.85</v>
      </c>
      <c r="AC25" s="169">
        <v>3649.8</v>
      </c>
      <c r="AD25" s="169">
        <v>3745.35</v>
      </c>
      <c r="AE25" s="168">
        <v>3838.5</v>
      </c>
      <c r="AF25" s="170">
        <v>3929.25</v>
      </c>
      <c r="AG25" s="169">
        <v>4017.6</v>
      </c>
      <c r="AH25" s="169">
        <v>4103.55</v>
      </c>
      <c r="AI25" s="169">
        <v>4187.1000000000058</v>
      </c>
      <c r="AJ25" s="169">
        <v>4268.2500000000055</v>
      </c>
      <c r="AK25" s="168">
        <v>4347.0000000000064</v>
      </c>
    </row>
    <row r="26" spans="1:37">
      <c r="A26" s="164">
        <v>22</v>
      </c>
      <c r="B26" s="167">
        <v>174.9</v>
      </c>
      <c r="C26" s="166">
        <v>347.28571428571428</v>
      </c>
      <c r="D26" s="166">
        <v>517.15714285714284</v>
      </c>
      <c r="E26" s="166">
        <v>684.51428571428573</v>
      </c>
      <c r="F26" s="166">
        <v>849.357142857143</v>
      </c>
      <c r="G26" s="166">
        <v>1011.6857142857144</v>
      </c>
      <c r="H26" s="166">
        <v>1171.5</v>
      </c>
      <c r="I26" s="166">
        <v>1328.8</v>
      </c>
      <c r="J26" s="166">
        <v>1483.5857142857146</v>
      </c>
      <c r="K26" s="165">
        <v>1635.8571428571433</v>
      </c>
      <c r="L26" s="167">
        <v>1785.6142857142863</v>
      </c>
      <c r="M26" s="166">
        <v>1932.8571428571436</v>
      </c>
      <c r="N26" s="166">
        <v>2077.5857142857149</v>
      </c>
      <c r="O26" s="166">
        <v>2219.8000000000002</v>
      </c>
      <c r="P26" s="166">
        <v>2359.5</v>
      </c>
      <c r="Q26" s="166">
        <v>2496.6857142857152</v>
      </c>
      <c r="R26" s="166">
        <v>2631.357142857144</v>
      </c>
      <c r="S26" s="166">
        <v>2763.5142857142873</v>
      </c>
      <c r="T26" s="166">
        <v>2893.1571428571447</v>
      </c>
      <c r="U26" s="165">
        <v>3020.285714285716</v>
      </c>
      <c r="V26" s="167">
        <v>3144.9</v>
      </c>
      <c r="W26" s="166">
        <v>3267</v>
      </c>
      <c r="X26" s="166">
        <v>3386.5857142857167</v>
      </c>
      <c r="Y26" s="166">
        <v>3503.6571428571456</v>
      </c>
      <c r="Z26" s="166">
        <v>3618.2142857142885</v>
      </c>
      <c r="AA26" s="166">
        <v>3730.2571428571459</v>
      </c>
      <c r="AB26" s="166">
        <v>3839.7857142857174</v>
      </c>
      <c r="AC26" s="166">
        <v>3946.8</v>
      </c>
      <c r="AD26" s="166">
        <v>4051.3</v>
      </c>
      <c r="AE26" s="165">
        <v>4153.2857142857183</v>
      </c>
      <c r="AF26" s="167">
        <v>4252.7571428571473</v>
      </c>
      <c r="AG26" s="166">
        <v>4349.7142857142899</v>
      </c>
      <c r="AH26" s="166">
        <v>4444.1571428571478</v>
      </c>
      <c r="AI26" s="166">
        <v>4536.0857142857194</v>
      </c>
      <c r="AJ26" s="166">
        <v>4625.5000000000055</v>
      </c>
      <c r="AK26" s="165">
        <v>4712.400000000006</v>
      </c>
    </row>
    <row r="27" spans="1:37">
      <c r="A27" s="164">
        <v>23</v>
      </c>
      <c r="B27" s="167">
        <v>186.3</v>
      </c>
      <c r="C27" s="166">
        <v>369.97142857142859</v>
      </c>
      <c r="D27" s="166">
        <v>551.01428571428573</v>
      </c>
      <c r="E27" s="166">
        <v>729.42857142857144</v>
      </c>
      <c r="F27" s="166">
        <v>905.21428571428578</v>
      </c>
      <c r="G27" s="166">
        <v>1078.3714285714286</v>
      </c>
      <c r="H27" s="166">
        <v>1248.9000000000001</v>
      </c>
      <c r="I27" s="166">
        <v>1416.8</v>
      </c>
      <c r="J27" s="166">
        <v>1582.0714285714289</v>
      </c>
      <c r="K27" s="165">
        <v>1744.714285714286</v>
      </c>
      <c r="L27" s="167">
        <v>1904.7285714285717</v>
      </c>
      <c r="M27" s="166">
        <v>2062.1142857142863</v>
      </c>
      <c r="N27" s="166">
        <v>2216.8714285714291</v>
      </c>
      <c r="O27" s="166">
        <v>2369</v>
      </c>
      <c r="P27" s="166">
        <v>2518.5</v>
      </c>
      <c r="Q27" s="166">
        <v>2665.3714285714295</v>
      </c>
      <c r="R27" s="166">
        <v>2809.6142857142868</v>
      </c>
      <c r="S27" s="166">
        <v>2951.2285714285726</v>
      </c>
      <c r="T27" s="166">
        <v>3090.2142857142871</v>
      </c>
      <c r="U27" s="165">
        <v>3226.5714285714303</v>
      </c>
      <c r="V27" s="167">
        <v>3360.3</v>
      </c>
      <c r="W27" s="166">
        <v>3491.4</v>
      </c>
      <c r="X27" s="166">
        <v>3619.8714285714309</v>
      </c>
      <c r="Y27" s="166">
        <v>3745.7142857142881</v>
      </c>
      <c r="Z27" s="166">
        <v>3868.9285714285738</v>
      </c>
      <c r="AA27" s="166">
        <v>3989.5142857142887</v>
      </c>
      <c r="AB27" s="166">
        <v>4107.4714285714317</v>
      </c>
      <c r="AC27" s="166">
        <v>4222.8</v>
      </c>
      <c r="AD27" s="166">
        <v>4335.5</v>
      </c>
      <c r="AE27" s="165">
        <v>4445.5714285714321</v>
      </c>
      <c r="AF27" s="167">
        <v>4553.0142857142901</v>
      </c>
      <c r="AG27" s="166">
        <v>4657.8285714285757</v>
      </c>
      <c r="AH27" s="166">
        <v>4760.0142857142901</v>
      </c>
      <c r="AI27" s="166">
        <v>4859.5714285714339</v>
      </c>
      <c r="AJ27" s="166">
        <v>4956.5000000000055</v>
      </c>
      <c r="AK27" s="165">
        <v>5050.8000000000056</v>
      </c>
    </row>
    <row r="28" spans="1:37">
      <c r="A28" s="164">
        <v>24</v>
      </c>
      <c r="B28" s="167">
        <v>199.2</v>
      </c>
      <c r="C28" s="166">
        <v>395.65714285714284</v>
      </c>
      <c r="D28" s="166">
        <v>589.37142857142851</v>
      </c>
      <c r="E28" s="166">
        <v>780.34285714285716</v>
      </c>
      <c r="F28" s="166">
        <v>968.57142857142856</v>
      </c>
      <c r="G28" s="166">
        <v>1154.0571428571429</v>
      </c>
      <c r="H28" s="166">
        <v>1336.8</v>
      </c>
      <c r="I28" s="166">
        <v>1516.8</v>
      </c>
      <c r="J28" s="166">
        <v>1694.0571428571429</v>
      </c>
      <c r="K28" s="165">
        <v>1868.5714285714287</v>
      </c>
      <c r="L28" s="167">
        <v>2040.3428571428574</v>
      </c>
      <c r="M28" s="166">
        <v>2209.3714285714291</v>
      </c>
      <c r="N28" s="166">
        <v>2375.6571428571433</v>
      </c>
      <c r="O28" s="166">
        <v>2539.1999999999998</v>
      </c>
      <c r="P28" s="166">
        <v>2700</v>
      </c>
      <c r="Q28" s="166">
        <v>2858.0571428571438</v>
      </c>
      <c r="R28" s="166">
        <v>3013.3714285714295</v>
      </c>
      <c r="S28" s="166">
        <v>3165.942857142858</v>
      </c>
      <c r="T28" s="166">
        <v>3315.7714285714296</v>
      </c>
      <c r="U28" s="165">
        <v>3462.857142857144</v>
      </c>
      <c r="V28" s="167">
        <v>3607.2</v>
      </c>
      <c r="W28" s="166">
        <v>3748.8</v>
      </c>
      <c r="X28" s="166">
        <v>3887.6571428571447</v>
      </c>
      <c r="Y28" s="166">
        <v>4023.7714285714305</v>
      </c>
      <c r="Z28" s="166">
        <v>4157.1428571428596</v>
      </c>
      <c r="AA28" s="166">
        <v>4287.771428571431</v>
      </c>
      <c r="AB28" s="166">
        <v>4415.657142857146</v>
      </c>
      <c r="AC28" s="166">
        <v>4540.8</v>
      </c>
      <c r="AD28" s="166">
        <v>4663.2</v>
      </c>
      <c r="AE28" s="165">
        <v>4782.8571428571468</v>
      </c>
      <c r="AF28" s="167">
        <v>4899.7714285714319</v>
      </c>
      <c r="AG28" s="166">
        <v>5013.9428571428616</v>
      </c>
      <c r="AH28" s="166">
        <v>5125.3714285714332</v>
      </c>
      <c r="AI28" s="166">
        <v>5234.0571428571475</v>
      </c>
      <c r="AJ28" s="166">
        <v>5340</v>
      </c>
      <c r="AK28" s="165">
        <v>5443.2000000000053</v>
      </c>
    </row>
    <row r="29" spans="1:37">
      <c r="A29" s="164">
        <v>25</v>
      </c>
      <c r="B29" s="163">
        <v>212.5</v>
      </c>
      <c r="C29" s="162">
        <v>422.14285714285717</v>
      </c>
      <c r="D29" s="162">
        <v>628.92857142857144</v>
      </c>
      <c r="E29" s="162">
        <v>832.85714285714289</v>
      </c>
      <c r="F29" s="162">
        <v>1033.9285714285716</v>
      </c>
      <c r="G29" s="162">
        <v>1232.1428571428573</v>
      </c>
      <c r="H29" s="162">
        <v>1427.5</v>
      </c>
      <c r="I29" s="162">
        <v>1620</v>
      </c>
      <c r="J29" s="162">
        <v>1809.6428571428576</v>
      </c>
      <c r="K29" s="161">
        <v>1996.4285714285718</v>
      </c>
      <c r="L29" s="163">
        <v>2180.3571428571436</v>
      </c>
      <c r="M29" s="162">
        <v>2361.428571428572</v>
      </c>
      <c r="N29" s="162">
        <v>2539.6428571428578</v>
      </c>
      <c r="O29" s="162">
        <v>2715</v>
      </c>
      <c r="P29" s="162">
        <v>2887.5</v>
      </c>
      <c r="Q29" s="162">
        <v>3057.1428571428582</v>
      </c>
      <c r="R29" s="162">
        <v>3223.9285714285729</v>
      </c>
      <c r="S29" s="162">
        <v>3387.8571428571445</v>
      </c>
      <c r="T29" s="162">
        <v>3548.9285714285734</v>
      </c>
      <c r="U29" s="161">
        <v>3707.1428571428592</v>
      </c>
      <c r="V29" s="163">
        <v>3862.5</v>
      </c>
      <c r="W29" s="162">
        <v>4015</v>
      </c>
      <c r="X29" s="162">
        <v>4164.6428571428596</v>
      </c>
      <c r="Y29" s="162">
        <v>4311.4285714285743</v>
      </c>
      <c r="Z29" s="162">
        <v>4455.3571428571458</v>
      </c>
      <c r="AA29" s="162">
        <v>4596.4285714285743</v>
      </c>
      <c r="AB29" s="162">
        <v>4734.6428571428605</v>
      </c>
      <c r="AC29" s="162">
        <v>4870</v>
      </c>
      <c r="AD29" s="162">
        <v>5002.5</v>
      </c>
      <c r="AE29" s="161">
        <v>5132.1428571428614</v>
      </c>
      <c r="AF29" s="163">
        <v>5258.9285714285761</v>
      </c>
      <c r="AG29" s="162">
        <v>5382.8571428571477</v>
      </c>
      <c r="AH29" s="162">
        <v>5503.928571428577</v>
      </c>
      <c r="AI29" s="162">
        <v>5622.1428571428632</v>
      </c>
      <c r="AJ29" s="162">
        <v>5737.5000000000064</v>
      </c>
      <c r="AK29" s="161">
        <v>5850.0000000000064</v>
      </c>
    </row>
    <row r="30" spans="1:37">
      <c r="A30" s="164">
        <v>26</v>
      </c>
      <c r="B30" s="170">
        <v>226.2</v>
      </c>
      <c r="C30" s="169">
        <v>449.42857142857139</v>
      </c>
      <c r="D30" s="169">
        <v>669.68571428571431</v>
      </c>
      <c r="E30" s="169">
        <v>886.97142857142853</v>
      </c>
      <c r="F30" s="169">
        <v>1101.2857142857142</v>
      </c>
      <c r="G30" s="169">
        <v>1312.6285714285714</v>
      </c>
      <c r="H30" s="169">
        <v>1521</v>
      </c>
      <c r="I30" s="169">
        <v>1726.4</v>
      </c>
      <c r="J30" s="169">
        <v>1928.8285714285716</v>
      </c>
      <c r="K30" s="168">
        <v>2128.2857142857147</v>
      </c>
      <c r="L30" s="170">
        <v>2324.7714285714292</v>
      </c>
      <c r="M30" s="169">
        <v>2518.2857142857147</v>
      </c>
      <c r="N30" s="169">
        <v>2708.8285714285721</v>
      </c>
      <c r="O30" s="169">
        <v>2896.4</v>
      </c>
      <c r="P30" s="169">
        <v>3081</v>
      </c>
      <c r="Q30" s="169">
        <v>3262.6285714285723</v>
      </c>
      <c r="R30" s="169">
        <v>3441.2857142857156</v>
      </c>
      <c r="S30" s="169">
        <v>3616.9714285714299</v>
      </c>
      <c r="T30" s="169">
        <v>3789.6857142857157</v>
      </c>
      <c r="U30" s="168">
        <v>3959.4285714285729</v>
      </c>
      <c r="V30" s="170">
        <v>4126.2</v>
      </c>
      <c r="W30" s="169">
        <v>4290</v>
      </c>
      <c r="X30" s="169">
        <v>4450.8285714285739</v>
      </c>
      <c r="Y30" s="169">
        <v>4608.685714285717</v>
      </c>
      <c r="Z30" s="169">
        <v>4763.5714285714312</v>
      </c>
      <c r="AA30" s="169">
        <v>4915.4857142857172</v>
      </c>
      <c r="AB30" s="169">
        <v>5064.4285714285743</v>
      </c>
      <c r="AC30" s="169">
        <v>5210.3999999999996</v>
      </c>
      <c r="AD30" s="169">
        <v>5353.4</v>
      </c>
      <c r="AE30" s="168">
        <v>5493.4285714285752</v>
      </c>
      <c r="AF30" s="170">
        <v>5630.485714285719</v>
      </c>
      <c r="AG30" s="169">
        <v>5764.571428571433</v>
      </c>
      <c r="AH30" s="169">
        <v>5895.6857142857189</v>
      </c>
      <c r="AI30" s="169">
        <v>6023.8285714285767</v>
      </c>
      <c r="AJ30" s="169">
        <v>6149.0000000000055</v>
      </c>
      <c r="AK30" s="168">
        <v>6271.2000000000062</v>
      </c>
    </row>
    <row r="31" spans="1:37">
      <c r="A31" s="164">
        <v>27</v>
      </c>
      <c r="B31" s="167">
        <v>237.6</v>
      </c>
      <c r="C31" s="166">
        <v>472.11428571428564</v>
      </c>
      <c r="D31" s="166">
        <v>703.54285714285709</v>
      </c>
      <c r="E31" s="166">
        <v>931.88571428571424</v>
      </c>
      <c r="F31" s="166">
        <v>1157.1428571428571</v>
      </c>
      <c r="G31" s="166">
        <v>1379.3142857142857</v>
      </c>
      <c r="H31" s="166">
        <v>1598.4</v>
      </c>
      <c r="I31" s="166">
        <v>1814.4</v>
      </c>
      <c r="J31" s="166">
        <v>2027.3142857142859</v>
      </c>
      <c r="K31" s="165">
        <v>2237.1428571428573</v>
      </c>
      <c r="L31" s="167">
        <v>2443.8857142857146</v>
      </c>
      <c r="M31" s="166">
        <v>2647.5428571428574</v>
      </c>
      <c r="N31" s="166">
        <v>2848.1142857142863</v>
      </c>
      <c r="O31" s="166">
        <v>3045.6</v>
      </c>
      <c r="P31" s="166">
        <v>3240</v>
      </c>
      <c r="Q31" s="166">
        <v>3431.3142857142866</v>
      </c>
      <c r="R31" s="166">
        <v>3619.5428571428583</v>
      </c>
      <c r="S31" s="166">
        <v>3804.6857142857152</v>
      </c>
      <c r="T31" s="166">
        <v>3986.7428571428586</v>
      </c>
      <c r="U31" s="165">
        <v>4165.7142857142871</v>
      </c>
      <c r="V31" s="167">
        <v>4341.6000000000004</v>
      </c>
      <c r="W31" s="166">
        <v>4514.3999999999996</v>
      </c>
      <c r="X31" s="166">
        <v>4684.1142857142877</v>
      </c>
      <c r="Y31" s="166">
        <v>4850.7428571428591</v>
      </c>
      <c r="Z31" s="166">
        <v>5014.2857142857165</v>
      </c>
      <c r="AA31" s="166">
        <v>5174.74285714286</v>
      </c>
      <c r="AB31" s="166">
        <v>5332.1142857142886</v>
      </c>
      <c r="AC31" s="166">
        <v>5486.4</v>
      </c>
      <c r="AD31" s="166">
        <v>5637.6</v>
      </c>
      <c r="AE31" s="165">
        <v>5785.7142857142899</v>
      </c>
      <c r="AF31" s="167">
        <v>5930.7428571428618</v>
      </c>
      <c r="AG31" s="166">
        <v>6072.6857142857189</v>
      </c>
      <c r="AH31" s="166">
        <v>6211.542857142862</v>
      </c>
      <c r="AI31" s="166">
        <v>6347.3142857142911</v>
      </c>
      <c r="AJ31" s="166">
        <v>6480.0000000000055</v>
      </c>
      <c r="AK31" s="165">
        <v>6609.6000000000058</v>
      </c>
    </row>
    <row r="32" spans="1:37">
      <c r="A32" s="164">
        <v>28</v>
      </c>
      <c r="B32" s="167">
        <v>249.2</v>
      </c>
      <c r="C32" s="166">
        <v>495.2</v>
      </c>
      <c r="D32" s="166">
        <v>738</v>
      </c>
      <c r="E32" s="166">
        <v>977.6</v>
      </c>
      <c r="F32" s="166">
        <v>1214</v>
      </c>
      <c r="G32" s="166">
        <v>1447.2</v>
      </c>
      <c r="H32" s="166">
        <v>1677.2</v>
      </c>
      <c r="I32" s="166">
        <v>1904</v>
      </c>
      <c r="J32" s="166">
        <v>2127.6</v>
      </c>
      <c r="K32" s="165">
        <v>2348</v>
      </c>
      <c r="L32" s="167">
        <v>2565.1999999999998</v>
      </c>
      <c r="M32" s="166">
        <v>2779.2</v>
      </c>
      <c r="N32" s="166">
        <v>2990</v>
      </c>
      <c r="O32" s="166">
        <v>3197.6</v>
      </c>
      <c r="P32" s="166">
        <v>3402</v>
      </c>
      <c r="Q32" s="166">
        <v>3603.2</v>
      </c>
      <c r="R32" s="166">
        <v>3801.2</v>
      </c>
      <c r="S32" s="166">
        <v>3996</v>
      </c>
      <c r="T32" s="166">
        <v>4187.6000000000004</v>
      </c>
      <c r="U32" s="165">
        <v>4376</v>
      </c>
      <c r="V32" s="167">
        <v>4561.2</v>
      </c>
      <c r="W32" s="166">
        <v>4743.2</v>
      </c>
      <c r="X32" s="166">
        <v>4922</v>
      </c>
      <c r="Y32" s="166">
        <v>5097.6000000000004</v>
      </c>
      <c r="Z32" s="166">
        <v>5270</v>
      </c>
      <c r="AA32" s="166">
        <v>5439.2</v>
      </c>
      <c r="AB32" s="166">
        <v>5605.2</v>
      </c>
      <c r="AC32" s="166">
        <v>5768</v>
      </c>
      <c r="AD32" s="166">
        <v>5927.6</v>
      </c>
      <c r="AE32" s="165">
        <v>6084</v>
      </c>
      <c r="AF32" s="167">
        <v>6237.2</v>
      </c>
      <c r="AG32" s="166">
        <v>6387.2</v>
      </c>
      <c r="AH32" s="166">
        <v>6534</v>
      </c>
      <c r="AI32" s="166">
        <v>6677.6</v>
      </c>
      <c r="AJ32" s="166">
        <v>6818</v>
      </c>
      <c r="AK32" s="165">
        <v>6955.2000000000062</v>
      </c>
    </row>
    <row r="33" spans="1:37">
      <c r="A33" s="164">
        <v>29</v>
      </c>
      <c r="B33" s="167">
        <v>261</v>
      </c>
      <c r="C33" s="166">
        <v>518.68571428571431</v>
      </c>
      <c r="D33" s="166">
        <v>773.05714285714294</v>
      </c>
      <c r="E33" s="166">
        <v>1024.1142857142859</v>
      </c>
      <c r="F33" s="166">
        <v>1271.8571428571429</v>
      </c>
      <c r="G33" s="166">
        <v>1516.2857142857144</v>
      </c>
      <c r="H33" s="166">
        <v>1757.4</v>
      </c>
      <c r="I33" s="166">
        <v>1995.2</v>
      </c>
      <c r="J33" s="166">
        <v>2229.6857142857148</v>
      </c>
      <c r="K33" s="165">
        <v>2460.8571428571436</v>
      </c>
      <c r="L33" s="167">
        <v>2688.7142857142862</v>
      </c>
      <c r="M33" s="166">
        <v>2913.2571428571437</v>
      </c>
      <c r="N33" s="166">
        <v>3134.4857142857154</v>
      </c>
      <c r="O33" s="166">
        <v>3352.4</v>
      </c>
      <c r="P33" s="166">
        <v>3567</v>
      </c>
      <c r="Q33" s="166">
        <v>3778.2857142857156</v>
      </c>
      <c r="R33" s="166">
        <v>3986.2571428571446</v>
      </c>
      <c r="S33" s="166">
        <v>4190.9142857142879</v>
      </c>
      <c r="T33" s="166">
        <v>4392.2571428571446</v>
      </c>
      <c r="U33" s="165">
        <v>4590.2857142857165</v>
      </c>
      <c r="V33" s="167">
        <v>4785</v>
      </c>
      <c r="W33" s="166">
        <v>4976.3999999999996</v>
      </c>
      <c r="X33" s="166">
        <v>5164.4857142857172</v>
      </c>
      <c r="Y33" s="166">
        <v>5349.2571428571464</v>
      </c>
      <c r="Z33" s="166">
        <v>5530.714285714289</v>
      </c>
      <c r="AA33" s="166">
        <v>5708.8571428571468</v>
      </c>
      <c r="AB33" s="166">
        <v>5883.6857142857189</v>
      </c>
      <c r="AC33" s="166">
        <v>6055.2</v>
      </c>
      <c r="AD33" s="166">
        <v>6223.4</v>
      </c>
      <c r="AE33" s="165">
        <v>6388.2857142857192</v>
      </c>
      <c r="AF33" s="167">
        <v>6549.8571428571486</v>
      </c>
      <c r="AG33" s="166">
        <v>6708.1142857142913</v>
      </c>
      <c r="AH33" s="166">
        <v>6863.0571428571493</v>
      </c>
      <c r="AI33" s="166">
        <v>7014.6857142857207</v>
      </c>
      <c r="AJ33" s="166">
        <v>7163.0000000000073</v>
      </c>
      <c r="AK33" s="165">
        <v>7308.0000000000073</v>
      </c>
    </row>
    <row r="34" spans="1:37">
      <c r="A34" s="164">
        <v>30</v>
      </c>
      <c r="B34" s="163">
        <v>273</v>
      </c>
      <c r="C34" s="162">
        <v>542.57142857142856</v>
      </c>
      <c r="D34" s="162">
        <v>808.71428571428567</v>
      </c>
      <c r="E34" s="162">
        <v>1071.4285714285716</v>
      </c>
      <c r="F34" s="162">
        <v>1330.7142857142858</v>
      </c>
      <c r="G34" s="162">
        <v>1586.5714285714287</v>
      </c>
      <c r="H34" s="162">
        <v>1839</v>
      </c>
      <c r="I34" s="162">
        <v>2088</v>
      </c>
      <c r="J34" s="162">
        <v>2333.5714285714289</v>
      </c>
      <c r="K34" s="161">
        <v>2575.7142857142862</v>
      </c>
      <c r="L34" s="163">
        <v>2814.428571428572</v>
      </c>
      <c r="M34" s="162">
        <v>3049.7142857142862</v>
      </c>
      <c r="N34" s="162">
        <v>3281.5714285714294</v>
      </c>
      <c r="O34" s="162">
        <v>3510</v>
      </c>
      <c r="P34" s="162">
        <v>3735</v>
      </c>
      <c r="Q34" s="162">
        <v>3956.5714285714298</v>
      </c>
      <c r="R34" s="162">
        <v>4174.7142857142871</v>
      </c>
      <c r="S34" s="162">
        <v>4389.4285714285734</v>
      </c>
      <c r="T34" s="162">
        <v>4600.7142857142871</v>
      </c>
      <c r="U34" s="161">
        <v>4808.5714285714303</v>
      </c>
      <c r="V34" s="163">
        <v>5013</v>
      </c>
      <c r="W34" s="162">
        <v>5214</v>
      </c>
      <c r="X34" s="162">
        <v>5411.5714285714312</v>
      </c>
      <c r="Y34" s="162">
        <v>5605.714285714289</v>
      </c>
      <c r="Z34" s="162">
        <v>5796.4285714285752</v>
      </c>
      <c r="AA34" s="162">
        <v>5983.714285714289</v>
      </c>
      <c r="AB34" s="162">
        <v>6167.571428571433</v>
      </c>
      <c r="AC34" s="162">
        <v>6348</v>
      </c>
      <c r="AD34" s="162">
        <v>6525</v>
      </c>
      <c r="AE34" s="161">
        <v>6698.5714285714339</v>
      </c>
      <c r="AF34" s="163">
        <v>6868.7142857142908</v>
      </c>
      <c r="AG34" s="162">
        <v>7035.428571428577</v>
      </c>
      <c r="AH34" s="162">
        <v>7198.7142857142917</v>
      </c>
      <c r="AI34" s="162">
        <v>7358.5714285714348</v>
      </c>
      <c r="AJ34" s="162">
        <v>7515.0000000000073</v>
      </c>
      <c r="AK34" s="161">
        <v>7668.0000000000073</v>
      </c>
    </row>
    <row r="35" spans="1:37"/>
    <row r="36" spans="1:37"/>
    <row r="37" spans="1:37">
      <c r="A37" s="176" t="s">
        <v>394</v>
      </c>
      <c r="B37" s="176" t="s">
        <v>394</v>
      </c>
      <c r="E37" s="177"/>
      <c r="F37" s="177"/>
      <c r="G37" s="177"/>
      <c r="H37" s="178" t="s">
        <v>395</v>
      </c>
      <c r="I37" s="179"/>
      <c r="J37" s="177"/>
      <c r="K37" s="177"/>
      <c r="L37" s="176"/>
      <c r="M37" s="176"/>
      <c r="N37" s="176"/>
      <c r="O37" s="176"/>
      <c r="P37" s="176" t="s">
        <v>394</v>
      </c>
      <c r="Q37" s="176" t="s">
        <v>394</v>
      </c>
      <c r="R37" s="176" t="s">
        <v>394</v>
      </c>
      <c r="S37" s="176" t="s">
        <v>394</v>
      </c>
      <c r="T37" s="176" t="s">
        <v>394</v>
      </c>
      <c r="U37" s="176" t="s">
        <v>394</v>
      </c>
      <c r="V37" s="176" t="s">
        <v>394</v>
      </c>
      <c r="W37" s="176" t="s">
        <v>394</v>
      </c>
      <c r="X37" s="176" t="s">
        <v>394</v>
      </c>
      <c r="Y37" s="176" t="s">
        <v>394</v>
      </c>
      <c r="Z37" s="176" t="s">
        <v>394</v>
      </c>
      <c r="AA37" s="176" t="s">
        <v>394</v>
      </c>
      <c r="AB37" s="176" t="s">
        <v>394</v>
      </c>
      <c r="AC37" s="176" t="s">
        <v>394</v>
      </c>
      <c r="AD37" s="176" t="s">
        <v>394</v>
      </c>
      <c r="AE37" s="176" t="s">
        <v>394</v>
      </c>
    </row>
    <row r="38" spans="1:37">
      <c r="A38" s="175" t="s">
        <v>391</v>
      </c>
      <c r="D38" s="175" t="s">
        <v>392</v>
      </c>
    </row>
    <row r="39" spans="1:37">
      <c r="A39" s="146" t="s">
        <v>393</v>
      </c>
      <c r="B39" s="146">
        <v>1</v>
      </c>
      <c r="C39" s="146">
        <v>2</v>
      </c>
      <c r="D39" s="146">
        <v>3</v>
      </c>
      <c r="E39" s="146">
        <v>4</v>
      </c>
      <c r="F39" s="146">
        <v>5</v>
      </c>
      <c r="G39" s="146">
        <v>6</v>
      </c>
      <c r="H39" s="146">
        <v>7</v>
      </c>
      <c r="I39" s="146">
        <v>8</v>
      </c>
      <c r="J39" s="146">
        <v>9</v>
      </c>
      <c r="K39" s="146">
        <v>10</v>
      </c>
      <c r="L39" s="146">
        <v>11</v>
      </c>
      <c r="M39" s="146">
        <v>12</v>
      </c>
      <c r="N39" s="146">
        <v>13</v>
      </c>
      <c r="O39" s="146">
        <v>14</v>
      </c>
      <c r="P39" s="146">
        <v>15</v>
      </c>
      <c r="Q39" s="146">
        <v>16</v>
      </c>
      <c r="R39" s="146">
        <v>17</v>
      </c>
      <c r="S39" s="146">
        <v>18</v>
      </c>
      <c r="T39" s="146">
        <v>19</v>
      </c>
      <c r="U39" s="146">
        <v>20</v>
      </c>
      <c r="V39" s="146">
        <v>21</v>
      </c>
      <c r="W39" s="146">
        <v>22</v>
      </c>
      <c r="X39" s="146">
        <v>23</v>
      </c>
      <c r="Y39" s="146">
        <v>24</v>
      </c>
      <c r="Z39" s="146">
        <v>25</v>
      </c>
      <c r="AA39" s="146">
        <v>26</v>
      </c>
      <c r="AB39" s="146">
        <v>27</v>
      </c>
      <c r="AC39" s="146">
        <v>28</v>
      </c>
      <c r="AD39" s="146">
        <v>29</v>
      </c>
      <c r="AE39" s="146">
        <v>30</v>
      </c>
      <c r="AF39" s="146">
        <v>31</v>
      </c>
      <c r="AG39" s="146">
        <v>32</v>
      </c>
      <c r="AH39" s="146">
        <v>33</v>
      </c>
      <c r="AI39" s="146">
        <v>34</v>
      </c>
      <c r="AJ39" s="160">
        <v>35</v>
      </c>
      <c r="AK39" s="160">
        <v>36</v>
      </c>
    </row>
    <row r="40" spans="1:37">
      <c r="A40" s="155">
        <v>1</v>
      </c>
      <c r="B40" s="152">
        <v>6.81</v>
      </c>
      <c r="C40" s="151">
        <v>6.81</v>
      </c>
      <c r="D40" s="151">
        <v>6.81</v>
      </c>
      <c r="E40" s="151">
        <v>6.81</v>
      </c>
      <c r="F40" s="151">
        <v>6.81</v>
      </c>
      <c r="G40" s="151">
        <v>6.81</v>
      </c>
      <c r="H40" s="151">
        <v>6.81</v>
      </c>
      <c r="I40" s="151">
        <v>6.81</v>
      </c>
      <c r="J40" s="151">
        <v>6.81</v>
      </c>
      <c r="K40" s="150">
        <v>6.81</v>
      </c>
      <c r="L40" s="152">
        <v>6.81</v>
      </c>
      <c r="M40" s="151">
        <v>6.81</v>
      </c>
      <c r="N40" s="151">
        <v>6.81</v>
      </c>
      <c r="O40" s="151">
        <v>6.81</v>
      </c>
      <c r="P40" s="151">
        <v>6.81</v>
      </c>
      <c r="Q40" s="151">
        <v>6.81</v>
      </c>
      <c r="R40" s="151">
        <v>6.81</v>
      </c>
      <c r="S40" s="151">
        <v>6.81</v>
      </c>
      <c r="T40" s="151">
        <v>6.81</v>
      </c>
      <c r="U40" s="150">
        <v>6.81</v>
      </c>
      <c r="V40" s="152">
        <v>7.26</v>
      </c>
      <c r="W40" s="151">
        <v>7.71</v>
      </c>
      <c r="X40" s="151">
        <v>7.71</v>
      </c>
      <c r="Y40" s="151">
        <v>8.17</v>
      </c>
      <c r="Z40" s="151">
        <v>8.6199999999999992</v>
      </c>
      <c r="AA40" s="151">
        <v>9.08</v>
      </c>
      <c r="AB40" s="151">
        <v>9.08</v>
      </c>
      <c r="AC40" s="151">
        <v>9.5299999999999994</v>
      </c>
      <c r="AD40" s="151">
        <v>9.98</v>
      </c>
      <c r="AE40" s="150">
        <v>10.44</v>
      </c>
      <c r="AF40" s="152">
        <v>10.44</v>
      </c>
      <c r="AG40" s="151">
        <v>10.89</v>
      </c>
      <c r="AH40" s="151">
        <v>11.34</v>
      </c>
      <c r="AI40" s="151">
        <v>11.8</v>
      </c>
      <c r="AJ40" s="157">
        <v>11.8</v>
      </c>
      <c r="AK40" s="156">
        <v>12.25</v>
      </c>
    </row>
    <row r="41" spans="1:37">
      <c r="A41" s="155">
        <v>2</v>
      </c>
      <c r="B41" s="149">
        <v>6.81</v>
      </c>
      <c r="C41" s="148">
        <v>6.81</v>
      </c>
      <c r="D41" s="148">
        <v>6.81</v>
      </c>
      <c r="E41" s="148">
        <v>6.81</v>
      </c>
      <c r="F41" s="148">
        <v>6.81</v>
      </c>
      <c r="G41" s="148">
        <v>6.81</v>
      </c>
      <c r="H41" s="148">
        <v>6.81</v>
      </c>
      <c r="I41" s="148">
        <v>6.81</v>
      </c>
      <c r="J41" s="148">
        <v>6.81</v>
      </c>
      <c r="K41" s="147">
        <v>6.81</v>
      </c>
      <c r="L41" s="149">
        <v>7.71</v>
      </c>
      <c r="M41" s="148">
        <v>8.17</v>
      </c>
      <c r="N41" s="148">
        <v>9.08</v>
      </c>
      <c r="O41" s="148">
        <v>9.5299999999999994</v>
      </c>
      <c r="P41" s="148">
        <v>10.44</v>
      </c>
      <c r="Q41" s="148">
        <v>10.89</v>
      </c>
      <c r="R41" s="148">
        <v>11.8</v>
      </c>
      <c r="S41" s="148">
        <v>12.25</v>
      </c>
      <c r="T41" s="148">
        <v>13.16</v>
      </c>
      <c r="U41" s="147">
        <v>13.61</v>
      </c>
      <c r="V41" s="149">
        <v>14.52</v>
      </c>
      <c r="W41" s="148">
        <v>14.97</v>
      </c>
      <c r="X41" s="148">
        <v>15.88</v>
      </c>
      <c r="Y41" s="148">
        <v>16.34</v>
      </c>
      <c r="Z41" s="148">
        <v>17.239999999999998</v>
      </c>
      <c r="AA41" s="148">
        <v>17.7</v>
      </c>
      <c r="AB41" s="148">
        <v>18.600000000000001</v>
      </c>
      <c r="AC41" s="148">
        <v>19.059999999999999</v>
      </c>
      <c r="AD41" s="148">
        <v>19.97</v>
      </c>
      <c r="AE41" s="147">
        <v>20.420000000000002</v>
      </c>
      <c r="AF41" s="149">
        <v>21.33</v>
      </c>
      <c r="AG41" s="148">
        <v>21.78</v>
      </c>
      <c r="AH41" s="148">
        <v>22.69</v>
      </c>
      <c r="AI41" s="148">
        <v>23.14</v>
      </c>
      <c r="AJ41" s="154">
        <v>24.05</v>
      </c>
      <c r="AK41" s="153">
        <v>24.5</v>
      </c>
    </row>
    <row r="42" spans="1:37">
      <c r="A42" s="155">
        <v>3</v>
      </c>
      <c r="B42" s="149">
        <v>6.81</v>
      </c>
      <c r="C42" s="148">
        <v>6.81</v>
      </c>
      <c r="D42" s="148">
        <v>6.81</v>
      </c>
      <c r="E42" s="148">
        <v>6.81</v>
      </c>
      <c r="F42" s="148">
        <v>6.81</v>
      </c>
      <c r="G42" s="148">
        <v>6.81</v>
      </c>
      <c r="H42" s="148">
        <v>7.26</v>
      </c>
      <c r="I42" s="148">
        <v>8.17</v>
      </c>
      <c r="J42" s="148">
        <v>9.08</v>
      </c>
      <c r="K42" s="147">
        <v>10.44</v>
      </c>
      <c r="L42" s="149">
        <v>11.34</v>
      </c>
      <c r="M42" s="148">
        <v>12.25</v>
      </c>
      <c r="N42" s="148">
        <v>13.16</v>
      </c>
      <c r="O42" s="148">
        <v>14.52</v>
      </c>
      <c r="P42" s="148">
        <v>15.43</v>
      </c>
      <c r="Q42" s="148">
        <v>16.34</v>
      </c>
      <c r="R42" s="148">
        <v>17.239999999999998</v>
      </c>
      <c r="S42" s="148">
        <v>18.600000000000001</v>
      </c>
      <c r="T42" s="148">
        <v>19.510000000000002</v>
      </c>
      <c r="U42" s="147">
        <v>20.420000000000002</v>
      </c>
      <c r="V42" s="149">
        <v>21.33</v>
      </c>
      <c r="W42" s="148">
        <v>22.69</v>
      </c>
      <c r="X42" s="148">
        <v>23.6</v>
      </c>
      <c r="Y42" s="148">
        <v>24.5</v>
      </c>
      <c r="Z42" s="148">
        <v>25.41</v>
      </c>
      <c r="AA42" s="148">
        <v>26.77</v>
      </c>
      <c r="AB42" s="148">
        <v>27.68</v>
      </c>
      <c r="AC42" s="148">
        <v>28.59</v>
      </c>
      <c r="AD42" s="148">
        <v>29.5</v>
      </c>
      <c r="AE42" s="147">
        <v>30.86</v>
      </c>
      <c r="AF42" s="149">
        <v>31.76</v>
      </c>
      <c r="AG42" s="148">
        <v>32.67</v>
      </c>
      <c r="AH42" s="148">
        <v>33.58</v>
      </c>
      <c r="AI42" s="148">
        <v>34.94</v>
      </c>
      <c r="AJ42" s="154">
        <v>35.85</v>
      </c>
      <c r="AK42" s="153">
        <v>36.76</v>
      </c>
    </row>
    <row r="43" spans="1:37">
      <c r="A43" s="155">
        <v>4</v>
      </c>
      <c r="B43" s="149">
        <v>6.81</v>
      </c>
      <c r="C43" s="148">
        <v>6.81</v>
      </c>
      <c r="D43" s="148">
        <v>6.81</v>
      </c>
      <c r="E43" s="148">
        <v>6.81</v>
      </c>
      <c r="F43" s="148">
        <v>6.81</v>
      </c>
      <c r="G43" s="148">
        <v>8.17</v>
      </c>
      <c r="H43" s="148">
        <v>9.5299999999999994</v>
      </c>
      <c r="I43" s="148">
        <v>10.89</v>
      </c>
      <c r="J43" s="148">
        <v>12.25</v>
      </c>
      <c r="K43" s="147">
        <v>13.61</v>
      </c>
      <c r="L43" s="149">
        <v>14.97</v>
      </c>
      <c r="M43" s="148">
        <v>16.34</v>
      </c>
      <c r="N43" s="148">
        <v>17.7</v>
      </c>
      <c r="O43" s="148">
        <v>19.059999999999999</v>
      </c>
      <c r="P43" s="148">
        <v>20.420000000000002</v>
      </c>
      <c r="Q43" s="148">
        <v>21.78</v>
      </c>
      <c r="R43" s="148">
        <v>23.14</v>
      </c>
      <c r="S43" s="148">
        <v>24.5</v>
      </c>
      <c r="T43" s="148">
        <v>25.87</v>
      </c>
      <c r="U43" s="147">
        <v>27.23</v>
      </c>
      <c r="V43" s="149">
        <v>28.59</v>
      </c>
      <c r="W43" s="148">
        <v>29.95</v>
      </c>
      <c r="X43" s="148">
        <v>31.31</v>
      </c>
      <c r="Y43" s="148">
        <v>32.67</v>
      </c>
      <c r="Z43" s="148">
        <v>34.03</v>
      </c>
      <c r="AA43" s="148">
        <v>35.39</v>
      </c>
      <c r="AB43" s="148">
        <v>36.76</v>
      </c>
      <c r="AC43" s="148">
        <v>38.119999999999997</v>
      </c>
      <c r="AD43" s="148">
        <v>39.479999999999997</v>
      </c>
      <c r="AE43" s="147">
        <v>40.840000000000003</v>
      </c>
      <c r="AF43" s="149">
        <v>42.2</v>
      </c>
      <c r="AG43" s="148">
        <v>43.56</v>
      </c>
      <c r="AH43" s="148">
        <v>44.92</v>
      </c>
      <c r="AI43" s="148">
        <v>46.29</v>
      </c>
      <c r="AJ43" s="154">
        <v>47.65</v>
      </c>
      <c r="AK43" s="153">
        <v>49.01</v>
      </c>
    </row>
    <row r="44" spans="1:37">
      <c r="A44" s="155">
        <v>5</v>
      </c>
      <c r="B44" s="145">
        <v>6.81</v>
      </c>
      <c r="C44" s="144">
        <v>6.81</v>
      </c>
      <c r="D44" s="144">
        <v>6.81</v>
      </c>
      <c r="E44" s="144">
        <v>6.81</v>
      </c>
      <c r="F44" s="144">
        <v>8.6199999999999992</v>
      </c>
      <c r="G44" s="144">
        <v>10.44</v>
      </c>
      <c r="H44" s="144">
        <v>11.8</v>
      </c>
      <c r="I44" s="144">
        <v>13.61</v>
      </c>
      <c r="J44" s="144">
        <v>15.43</v>
      </c>
      <c r="K44" s="143">
        <v>17.239999999999998</v>
      </c>
      <c r="L44" s="145">
        <v>18.600000000000001</v>
      </c>
      <c r="M44" s="144">
        <v>20.420000000000002</v>
      </c>
      <c r="N44" s="144">
        <v>22.24</v>
      </c>
      <c r="O44" s="144">
        <v>24.05</v>
      </c>
      <c r="P44" s="144">
        <v>25.41</v>
      </c>
      <c r="Q44" s="144">
        <v>27.23</v>
      </c>
      <c r="R44" s="144">
        <v>29.04</v>
      </c>
      <c r="S44" s="144">
        <v>30.86</v>
      </c>
      <c r="T44" s="144">
        <v>32.22</v>
      </c>
      <c r="U44" s="143">
        <v>34.03</v>
      </c>
      <c r="V44" s="145">
        <v>35.85</v>
      </c>
      <c r="W44" s="144">
        <v>37.659999999999997</v>
      </c>
      <c r="X44" s="144">
        <v>39.03</v>
      </c>
      <c r="Y44" s="144">
        <v>40.840000000000003</v>
      </c>
      <c r="Z44" s="144">
        <v>42.66</v>
      </c>
      <c r="AA44" s="144">
        <v>44.47</v>
      </c>
      <c r="AB44" s="144">
        <v>45.95</v>
      </c>
      <c r="AC44" s="144">
        <v>47.65</v>
      </c>
      <c r="AD44" s="144">
        <v>49.35</v>
      </c>
      <c r="AE44" s="143">
        <v>51.05</v>
      </c>
      <c r="AF44" s="145">
        <v>52.75</v>
      </c>
      <c r="AG44" s="144">
        <v>54.45</v>
      </c>
      <c r="AH44" s="144">
        <v>56.16</v>
      </c>
      <c r="AI44" s="144">
        <v>57.86</v>
      </c>
      <c r="AJ44" s="159">
        <v>59.56</v>
      </c>
      <c r="AK44" s="158">
        <v>61.26</v>
      </c>
    </row>
    <row r="45" spans="1:37">
      <c r="A45" s="155">
        <v>6</v>
      </c>
      <c r="B45" s="152">
        <v>6.81</v>
      </c>
      <c r="C45" s="151">
        <v>6.81</v>
      </c>
      <c r="D45" s="151">
        <v>6.81</v>
      </c>
      <c r="E45" s="151">
        <v>8.17</v>
      </c>
      <c r="F45" s="151">
        <v>10.44</v>
      </c>
      <c r="G45" s="151">
        <v>12.25</v>
      </c>
      <c r="H45" s="151">
        <v>14.52</v>
      </c>
      <c r="I45" s="151">
        <v>16.34</v>
      </c>
      <c r="J45" s="151">
        <v>18.600000000000001</v>
      </c>
      <c r="K45" s="150">
        <v>20.420000000000002</v>
      </c>
      <c r="L45" s="152">
        <v>22.69</v>
      </c>
      <c r="M45" s="151">
        <v>24.5</v>
      </c>
      <c r="N45" s="151">
        <v>26.77</v>
      </c>
      <c r="O45" s="151">
        <v>28.59</v>
      </c>
      <c r="P45" s="151">
        <v>30.86</v>
      </c>
      <c r="Q45" s="151">
        <v>32.67</v>
      </c>
      <c r="R45" s="151">
        <v>34.94</v>
      </c>
      <c r="S45" s="151">
        <v>36.76</v>
      </c>
      <c r="T45" s="151">
        <v>39.03</v>
      </c>
      <c r="U45" s="150">
        <v>40.840000000000003</v>
      </c>
      <c r="V45" s="152">
        <v>43.11</v>
      </c>
      <c r="W45" s="151">
        <v>44.92</v>
      </c>
      <c r="X45" s="151">
        <v>46.97</v>
      </c>
      <c r="Y45" s="151">
        <v>49.01</v>
      </c>
      <c r="Z45" s="151">
        <v>51.05</v>
      </c>
      <c r="AA45" s="151">
        <v>53.09</v>
      </c>
      <c r="AB45" s="151">
        <v>55.13</v>
      </c>
      <c r="AC45" s="151">
        <v>57.18</v>
      </c>
      <c r="AD45" s="151">
        <v>59.22</v>
      </c>
      <c r="AE45" s="150">
        <v>61.26</v>
      </c>
      <c r="AF45" s="152">
        <v>63.3</v>
      </c>
      <c r="AG45" s="151">
        <v>65.34</v>
      </c>
      <c r="AH45" s="151">
        <v>67.39</v>
      </c>
      <c r="AI45" s="151">
        <v>69.430000000000007</v>
      </c>
      <c r="AJ45" s="157">
        <v>71.47</v>
      </c>
      <c r="AK45" s="156">
        <v>73.510000000000005</v>
      </c>
    </row>
    <row r="46" spans="1:37">
      <c r="A46" s="155">
        <v>7</v>
      </c>
      <c r="B46" s="149">
        <v>6.81</v>
      </c>
      <c r="C46" s="148">
        <v>6.81</v>
      </c>
      <c r="D46" s="148">
        <v>7.26</v>
      </c>
      <c r="E46" s="148">
        <v>9.5299999999999994</v>
      </c>
      <c r="F46" s="148">
        <v>11.8</v>
      </c>
      <c r="G46" s="148">
        <v>14.52</v>
      </c>
      <c r="H46" s="148">
        <v>16.79</v>
      </c>
      <c r="I46" s="148">
        <v>19.059999999999999</v>
      </c>
      <c r="J46" s="148">
        <v>21.33</v>
      </c>
      <c r="K46" s="147">
        <v>24.05</v>
      </c>
      <c r="L46" s="149">
        <v>26.32</v>
      </c>
      <c r="M46" s="148">
        <v>28.59</v>
      </c>
      <c r="N46" s="148">
        <v>30.86</v>
      </c>
      <c r="O46" s="148">
        <v>33.58</v>
      </c>
      <c r="P46" s="148">
        <v>35.85</v>
      </c>
      <c r="Q46" s="148">
        <v>38.119999999999997</v>
      </c>
      <c r="R46" s="148">
        <v>40.39</v>
      </c>
      <c r="S46" s="148">
        <v>43.11</v>
      </c>
      <c r="T46" s="148">
        <v>45.38</v>
      </c>
      <c r="U46" s="147">
        <v>47.65</v>
      </c>
      <c r="V46" s="149">
        <v>50.03</v>
      </c>
      <c r="W46" s="148">
        <v>52.41</v>
      </c>
      <c r="X46" s="148">
        <v>54.79</v>
      </c>
      <c r="Y46" s="148">
        <v>57.18</v>
      </c>
      <c r="Z46" s="148">
        <v>59.56</v>
      </c>
      <c r="AA46" s="148">
        <v>61.94</v>
      </c>
      <c r="AB46" s="148">
        <v>64.319999999999993</v>
      </c>
      <c r="AC46" s="148">
        <v>66.709999999999994</v>
      </c>
      <c r="AD46" s="148">
        <v>69.09</v>
      </c>
      <c r="AE46" s="147">
        <v>71.47</v>
      </c>
      <c r="AF46" s="149">
        <v>73.849999999999994</v>
      </c>
      <c r="AG46" s="148">
        <v>76.239999999999995</v>
      </c>
      <c r="AH46" s="148">
        <v>78.62</v>
      </c>
      <c r="AI46" s="148">
        <v>81</v>
      </c>
      <c r="AJ46" s="154">
        <v>83.38</v>
      </c>
      <c r="AK46" s="153">
        <v>85.76</v>
      </c>
    </row>
    <row r="47" spans="1:37">
      <c r="A47" s="155">
        <v>8</v>
      </c>
      <c r="B47" s="149">
        <v>6.81</v>
      </c>
      <c r="C47" s="148">
        <v>6.81</v>
      </c>
      <c r="D47" s="148">
        <v>8.17</v>
      </c>
      <c r="E47" s="148">
        <v>10.89</v>
      </c>
      <c r="F47" s="148">
        <v>13.61</v>
      </c>
      <c r="G47" s="148">
        <v>16.34</v>
      </c>
      <c r="H47" s="148">
        <v>19.059999999999999</v>
      </c>
      <c r="I47" s="148">
        <v>21.78</v>
      </c>
      <c r="J47" s="148">
        <v>24.5</v>
      </c>
      <c r="K47" s="147">
        <v>27.23</v>
      </c>
      <c r="L47" s="149">
        <v>29.95</v>
      </c>
      <c r="M47" s="148">
        <v>32.67</v>
      </c>
      <c r="N47" s="148">
        <v>35.39</v>
      </c>
      <c r="O47" s="148">
        <v>38.119999999999997</v>
      </c>
      <c r="P47" s="148">
        <v>40.840000000000003</v>
      </c>
      <c r="Q47" s="148">
        <v>43.56</v>
      </c>
      <c r="R47" s="148">
        <v>46.29</v>
      </c>
      <c r="S47" s="148">
        <v>49.01</v>
      </c>
      <c r="T47" s="148">
        <v>51.73</v>
      </c>
      <c r="U47" s="147">
        <v>54.45</v>
      </c>
      <c r="V47" s="149">
        <v>57.18</v>
      </c>
      <c r="W47" s="148">
        <v>59.9</v>
      </c>
      <c r="X47" s="148">
        <v>62.62</v>
      </c>
      <c r="Y47" s="148">
        <v>65.34</v>
      </c>
      <c r="Z47" s="148">
        <v>68.069999999999993</v>
      </c>
      <c r="AA47" s="148">
        <v>70.790000000000006</v>
      </c>
      <c r="AB47" s="148">
        <v>73.510000000000005</v>
      </c>
      <c r="AC47" s="148">
        <v>76.239999999999995</v>
      </c>
      <c r="AD47" s="148">
        <v>78.959999999999994</v>
      </c>
      <c r="AE47" s="147">
        <v>81.680000000000007</v>
      </c>
      <c r="AF47" s="149">
        <v>84.4</v>
      </c>
      <c r="AG47" s="148">
        <v>87.13</v>
      </c>
      <c r="AH47" s="148">
        <v>89.85</v>
      </c>
      <c r="AI47" s="148">
        <v>92.57</v>
      </c>
      <c r="AJ47" s="154">
        <v>95.29</v>
      </c>
      <c r="AK47" s="153">
        <v>98.02</v>
      </c>
    </row>
    <row r="48" spans="1:37">
      <c r="A48" s="155">
        <v>9</v>
      </c>
      <c r="B48" s="149">
        <v>6.81</v>
      </c>
      <c r="C48" s="148">
        <v>6.81</v>
      </c>
      <c r="D48" s="148">
        <v>9.5299999999999994</v>
      </c>
      <c r="E48" s="148">
        <v>12.25</v>
      </c>
      <c r="F48" s="148">
        <v>15.43</v>
      </c>
      <c r="G48" s="148">
        <v>18.600000000000001</v>
      </c>
      <c r="H48" s="148">
        <v>21.33</v>
      </c>
      <c r="I48" s="148">
        <v>24.5</v>
      </c>
      <c r="J48" s="148">
        <v>27.68</v>
      </c>
      <c r="K48" s="147">
        <v>30.86</v>
      </c>
      <c r="L48" s="149">
        <v>33.58</v>
      </c>
      <c r="M48" s="148">
        <v>36.76</v>
      </c>
      <c r="N48" s="148">
        <v>39.93</v>
      </c>
      <c r="O48" s="148">
        <v>43.11</v>
      </c>
      <c r="P48" s="148">
        <v>45.95</v>
      </c>
      <c r="Q48" s="148">
        <v>49.01</v>
      </c>
      <c r="R48" s="148">
        <v>52.07</v>
      </c>
      <c r="S48" s="148">
        <v>55.13</v>
      </c>
      <c r="T48" s="148">
        <v>58.2</v>
      </c>
      <c r="U48" s="147">
        <v>61.26</v>
      </c>
      <c r="V48" s="149">
        <v>64.319999999999993</v>
      </c>
      <c r="W48" s="148">
        <v>67.39</v>
      </c>
      <c r="X48" s="148">
        <v>70.45</v>
      </c>
      <c r="Y48" s="148">
        <v>73.510000000000005</v>
      </c>
      <c r="Z48" s="148">
        <v>76.58</v>
      </c>
      <c r="AA48" s="148">
        <v>79.64</v>
      </c>
      <c r="AB48" s="148">
        <v>82.7</v>
      </c>
      <c r="AC48" s="148">
        <v>85.76</v>
      </c>
      <c r="AD48" s="148">
        <v>88.83</v>
      </c>
      <c r="AE48" s="147">
        <v>91.89</v>
      </c>
      <c r="AF48" s="149">
        <v>94.95</v>
      </c>
      <c r="AG48" s="148">
        <v>98.02</v>
      </c>
      <c r="AH48" s="148">
        <v>101.1</v>
      </c>
      <c r="AI48" s="148">
        <v>104.1</v>
      </c>
      <c r="AJ48" s="154">
        <v>107.2</v>
      </c>
      <c r="AK48" s="153">
        <v>110.3</v>
      </c>
    </row>
    <row r="49" spans="1:37">
      <c r="A49" s="155">
        <v>10</v>
      </c>
      <c r="B49" s="145">
        <v>6.81</v>
      </c>
      <c r="C49" s="144">
        <v>6.81</v>
      </c>
      <c r="D49" s="144">
        <v>10.44</v>
      </c>
      <c r="E49" s="144">
        <v>13.61</v>
      </c>
      <c r="F49" s="144">
        <v>17.239999999999998</v>
      </c>
      <c r="G49" s="144">
        <v>20.420000000000002</v>
      </c>
      <c r="H49" s="144">
        <v>24.05</v>
      </c>
      <c r="I49" s="144">
        <v>27.23</v>
      </c>
      <c r="J49" s="144">
        <v>30.86</v>
      </c>
      <c r="K49" s="143">
        <v>34.03</v>
      </c>
      <c r="L49" s="145">
        <v>37.659999999999997</v>
      </c>
      <c r="M49" s="144">
        <v>40.840000000000003</v>
      </c>
      <c r="N49" s="144">
        <v>44.47</v>
      </c>
      <c r="O49" s="144">
        <v>47.65</v>
      </c>
      <c r="P49" s="144">
        <v>51.05</v>
      </c>
      <c r="Q49" s="144">
        <v>54.45</v>
      </c>
      <c r="R49" s="144">
        <v>57.86</v>
      </c>
      <c r="S49" s="144">
        <v>61.26</v>
      </c>
      <c r="T49" s="144">
        <v>64.66</v>
      </c>
      <c r="U49" s="143">
        <v>68.069999999999993</v>
      </c>
      <c r="V49" s="145">
        <v>71.47</v>
      </c>
      <c r="W49" s="144">
        <v>74.87</v>
      </c>
      <c r="X49" s="144">
        <v>78.28</v>
      </c>
      <c r="Y49" s="144">
        <v>81.680000000000007</v>
      </c>
      <c r="Z49" s="144">
        <v>85.08</v>
      </c>
      <c r="AA49" s="144">
        <v>88.49</v>
      </c>
      <c r="AB49" s="144">
        <v>91.89</v>
      </c>
      <c r="AC49" s="144">
        <v>95.29</v>
      </c>
      <c r="AD49" s="144">
        <v>98.7</v>
      </c>
      <c r="AE49" s="143">
        <v>102.1</v>
      </c>
      <c r="AF49" s="145">
        <v>105.5</v>
      </c>
      <c r="AG49" s="144">
        <v>108.9</v>
      </c>
      <c r="AH49" s="144">
        <v>112.3</v>
      </c>
      <c r="AI49" s="144">
        <v>115.7</v>
      </c>
      <c r="AJ49" s="159">
        <v>119.1</v>
      </c>
      <c r="AK49" s="158">
        <v>122.5</v>
      </c>
    </row>
    <row r="50" spans="1:37">
      <c r="A50" s="155">
        <v>11</v>
      </c>
      <c r="B50" s="152">
        <v>6.81</v>
      </c>
      <c r="C50" s="151">
        <v>7.71</v>
      </c>
      <c r="D50" s="151">
        <v>11.34</v>
      </c>
      <c r="E50" s="151">
        <v>14.97</v>
      </c>
      <c r="F50" s="151">
        <v>18.600000000000001</v>
      </c>
      <c r="G50" s="151">
        <v>22.69</v>
      </c>
      <c r="H50" s="151">
        <v>26.32</v>
      </c>
      <c r="I50" s="151">
        <v>29.95</v>
      </c>
      <c r="J50" s="151">
        <v>33.58</v>
      </c>
      <c r="K50" s="150">
        <v>37.659999999999997</v>
      </c>
      <c r="L50" s="152">
        <v>41.75</v>
      </c>
      <c r="M50" s="151">
        <v>44.92</v>
      </c>
      <c r="N50" s="151">
        <v>48.67</v>
      </c>
      <c r="O50" s="151">
        <v>52.41</v>
      </c>
      <c r="P50" s="151">
        <v>56.16</v>
      </c>
      <c r="Q50" s="151">
        <v>59.9</v>
      </c>
      <c r="R50" s="151">
        <v>63.64</v>
      </c>
      <c r="S50" s="151">
        <v>67.39</v>
      </c>
      <c r="T50" s="151">
        <v>71.13</v>
      </c>
      <c r="U50" s="150">
        <v>74.87</v>
      </c>
      <c r="V50" s="152">
        <v>78.599999999999994</v>
      </c>
      <c r="W50" s="151">
        <v>82.4</v>
      </c>
      <c r="X50" s="151">
        <v>86.1</v>
      </c>
      <c r="Y50" s="151">
        <v>89.8</v>
      </c>
      <c r="Z50" s="151">
        <v>93.6</v>
      </c>
      <c r="AA50" s="151">
        <v>97.3</v>
      </c>
      <c r="AB50" s="151">
        <v>101.1</v>
      </c>
      <c r="AC50" s="151">
        <v>104.8</v>
      </c>
      <c r="AD50" s="151">
        <v>108.6</v>
      </c>
      <c r="AE50" s="150">
        <v>112.3</v>
      </c>
      <c r="AF50" s="152">
        <v>116.1</v>
      </c>
      <c r="AG50" s="151">
        <v>119.8</v>
      </c>
      <c r="AH50" s="151">
        <v>123.5</v>
      </c>
      <c r="AI50" s="151">
        <v>127.3</v>
      </c>
      <c r="AJ50" s="157">
        <v>131</v>
      </c>
      <c r="AK50" s="156">
        <v>134.80000000000001</v>
      </c>
    </row>
    <row r="51" spans="1:37">
      <c r="A51" s="155">
        <v>12</v>
      </c>
      <c r="B51" s="149">
        <v>6.81</v>
      </c>
      <c r="C51" s="148">
        <v>8.17</v>
      </c>
      <c r="D51" s="148">
        <v>12.25</v>
      </c>
      <c r="E51" s="148">
        <v>16.34</v>
      </c>
      <c r="F51" s="148">
        <v>20.420000000000002</v>
      </c>
      <c r="G51" s="148">
        <v>24.5</v>
      </c>
      <c r="H51" s="148">
        <v>28.59</v>
      </c>
      <c r="I51" s="148">
        <v>32.67</v>
      </c>
      <c r="J51" s="148">
        <v>36.76</v>
      </c>
      <c r="K51" s="147">
        <v>40.840000000000003</v>
      </c>
      <c r="L51" s="149">
        <v>44.92</v>
      </c>
      <c r="M51" s="148">
        <v>49.01</v>
      </c>
      <c r="N51" s="148">
        <v>53.09</v>
      </c>
      <c r="O51" s="148">
        <v>57.18</v>
      </c>
      <c r="P51" s="148">
        <v>61.26</v>
      </c>
      <c r="Q51" s="148">
        <v>65.34</v>
      </c>
      <c r="R51" s="148">
        <v>69.430000000000007</v>
      </c>
      <c r="S51" s="148">
        <v>73.510000000000005</v>
      </c>
      <c r="T51" s="148">
        <v>77.599999999999994</v>
      </c>
      <c r="U51" s="147">
        <v>81.680000000000007</v>
      </c>
      <c r="V51" s="149">
        <v>85.8</v>
      </c>
      <c r="W51" s="148">
        <v>89.8</v>
      </c>
      <c r="X51" s="148">
        <v>93.9</v>
      </c>
      <c r="Y51" s="148">
        <v>98</v>
      </c>
      <c r="Z51" s="148">
        <v>102.1</v>
      </c>
      <c r="AA51" s="148">
        <v>106.2</v>
      </c>
      <c r="AB51" s="148">
        <v>110.3</v>
      </c>
      <c r="AC51" s="148">
        <v>114.4</v>
      </c>
      <c r="AD51" s="148">
        <v>118.4</v>
      </c>
      <c r="AE51" s="147">
        <v>122.5</v>
      </c>
      <c r="AF51" s="149">
        <v>126.6</v>
      </c>
      <c r="AG51" s="148">
        <v>130.69999999999999</v>
      </c>
      <c r="AH51" s="148">
        <v>134.80000000000001</v>
      </c>
      <c r="AI51" s="148">
        <v>138.9</v>
      </c>
      <c r="AJ51" s="154">
        <v>142.9</v>
      </c>
      <c r="AK51" s="153">
        <v>147</v>
      </c>
    </row>
    <row r="52" spans="1:37">
      <c r="A52" s="155">
        <v>13</v>
      </c>
      <c r="B52" s="149">
        <v>6.81</v>
      </c>
      <c r="C52" s="148">
        <v>9.08</v>
      </c>
      <c r="D52" s="148">
        <v>13.16</v>
      </c>
      <c r="E52" s="148">
        <v>17.7</v>
      </c>
      <c r="F52" s="148">
        <v>22.24</v>
      </c>
      <c r="G52" s="148">
        <v>26.77</v>
      </c>
      <c r="H52" s="148">
        <v>30.86</v>
      </c>
      <c r="I52" s="148">
        <v>35.39</v>
      </c>
      <c r="J52" s="148">
        <v>39.93</v>
      </c>
      <c r="K52" s="147">
        <v>44.47</v>
      </c>
      <c r="L52" s="149">
        <v>48.67</v>
      </c>
      <c r="M52" s="148">
        <v>53.09</v>
      </c>
      <c r="N52" s="148">
        <v>57.52</v>
      </c>
      <c r="O52" s="148">
        <v>61.94</v>
      </c>
      <c r="P52" s="148">
        <v>66.37</v>
      </c>
      <c r="Q52" s="148">
        <v>70.790000000000006</v>
      </c>
      <c r="R52" s="148">
        <v>75.209999999999994</v>
      </c>
      <c r="S52" s="148">
        <v>79.64</v>
      </c>
      <c r="T52" s="148">
        <v>84.06</v>
      </c>
      <c r="U52" s="147">
        <v>88.49</v>
      </c>
      <c r="V52" s="149">
        <v>92.9</v>
      </c>
      <c r="W52" s="148">
        <v>97.3</v>
      </c>
      <c r="X52" s="148">
        <v>101.8</v>
      </c>
      <c r="Y52" s="148">
        <v>106.2</v>
      </c>
      <c r="Z52" s="148">
        <v>110.6</v>
      </c>
      <c r="AA52" s="148">
        <v>115</v>
      </c>
      <c r="AB52" s="148">
        <v>119.5</v>
      </c>
      <c r="AC52" s="148">
        <v>123.9</v>
      </c>
      <c r="AD52" s="148">
        <v>128.30000000000001</v>
      </c>
      <c r="AE52" s="147">
        <v>132.69999999999999</v>
      </c>
      <c r="AF52" s="149">
        <v>137.19999999999999</v>
      </c>
      <c r="AG52" s="148">
        <v>141.6</v>
      </c>
      <c r="AH52" s="148">
        <v>146</v>
      </c>
      <c r="AI52" s="148">
        <v>150.4</v>
      </c>
      <c r="AJ52" s="154">
        <v>154.9</v>
      </c>
      <c r="AK52" s="153">
        <v>159.30000000000001</v>
      </c>
    </row>
    <row r="53" spans="1:37">
      <c r="A53" s="155">
        <v>14</v>
      </c>
      <c r="B53" s="149">
        <v>6.81</v>
      </c>
      <c r="C53" s="148">
        <v>9.5299999999999994</v>
      </c>
      <c r="D53" s="148">
        <v>14.52</v>
      </c>
      <c r="E53" s="148">
        <v>19.059999999999999</v>
      </c>
      <c r="F53" s="148">
        <v>24.05</v>
      </c>
      <c r="G53" s="148">
        <v>28.59</v>
      </c>
      <c r="H53" s="148">
        <v>33.58</v>
      </c>
      <c r="I53" s="148">
        <v>38.119999999999997</v>
      </c>
      <c r="J53" s="148">
        <v>43.11</v>
      </c>
      <c r="K53" s="147">
        <v>47.65</v>
      </c>
      <c r="L53" s="149">
        <v>52.41</v>
      </c>
      <c r="M53" s="148">
        <v>57.18</v>
      </c>
      <c r="N53" s="148">
        <v>61.94</v>
      </c>
      <c r="O53" s="148">
        <v>66.709999999999994</v>
      </c>
      <c r="P53" s="148">
        <v>71.47</v>
      </c>
      <c r="Q53" s="148">
        <v>76.239999999999995</v>
      </c>
      <c r="R53" s="148">
        <v>81</v>
      </c>
      <c r="S53" s="148">
        <v>85.76</v>
      </c>
      <c r="T53" s="148">
        <v>90.53</v>
      </c>
      <c r="U53" s="147">
        <v>95.29</v>
      </c>
      <c r="V53" s="149">
        <v>100.1</v>
      </c>
      <c r="W53" s="148">
        <v>104.8</v>
      </c>
      <c r="X53" s="148">
        <v>109.6</v>
      </c>
      <c r="Y53" s="148">
        <v>114.4</v>
      </c>
      <c r="Z53" s="148">
        <v>119.1</v>
      </c>
      <c r="AA53" s="148">
        <v>123.9</v>
      </c>
      <c r="AB53" s="148">
        <v>128.6</v>
      </c>
      <c r="AC53" s="148">
        <v>133.4</v>
      </c>
      <c r="AD53" s="148">
        <v>138.19999999999999</v>
      </c>
      <c r="AE53" s="147">
        <v>142.9</v>
      </c>
      <c r="AF53" s="149">
        <v>147.69999999999999</v>
      </c>
      <c r="AG53" s="148">
        <v>152.5</v>
      </c>
      <c r="AH53" s="148">
        <v>157.19999999999999</v>
      </c>
      <c r="AI53" s="148">
        <v>162</v>
      </c>
      <c r="AJ53" s="154">
        <v>166.8</v>
      </c>
      <c r="AK53" s="153">
        <v>171.5</v>
      </c>
    </row>
    <row r="54" spans="1:37">
      <c r="A54" s="155">
        <v>15</v>
      </c>
      <c r="B54" s="145">
        <v>6.81</v>
      </c>
      <c r="C54" s="144">
        <v>10.44</v>
      </c>
      <c r="D54" s="144">
        <v>15.43</v>
      </c>
      <c r="E54" s="144">
        <v>20.420000000000002</v>
      </c>
      <c r="F54" s="144">
        <v>25.41</v>
      </c>
      <c r="G54" s="144">
        <v>30.86</v>
      </c>
      <c r="H54" s="144">
        <v>35.85</v>
      </c>
      <c r="I54" s="144">
        <v>40.840000000000003</v>
      </c>
      <c r="J54" s="144">
        <v>45.95</v>
      </c>
      <c r="K54" s="143">
        <v>51.05</v>
      </c>
      <c r="L54" s="145">
        <v>56.16</v>
      </c>
      <c r="M54" s="144">
        <v>61.26</v>
      </c>
      <c r="N54" s="144">
        <v>66.37</v>
      </c>
      <c r="O54" s="144">
        <v>71.47</v>
      </c>
      <c r="P54" s="144">
        <v>76.58</v>
      </c>
      <c r="Q54" s="144">
        <v>81.680000000000007</v>
      </c>
      <c r="R54" s="144">
        <v>86.79</v>
      </c>
      <c r="S54" s="144">
        <v>91.89</v>
      </c>
      <c r="T54" s="144">
        <v>97</v>
      </c>
      <c r="U54" s="143">
        <v>102.1</v>
      </c>
      <c r="V54" s="145">
        <v>107.2</v>
      </c>
      <c r="W54" s="144">
        <v>112.3</v>
      </c>
      <c r="X54" s="144">
        <v>117.4</v>
      </c>
      <c r="Y54" s="144">
        <v>122.5</v>
      </c>
      <c r="Z54" s="144">
        <v>127.6</v>
      </c>
      <c r="AA54" s="144">
        <v>132.69999999999999</v>
      </c>
      <c r="AB54" s="144">
        <v>137.80000000000001</v>
      </c>
      <c r="AC54" s="144">
        <v>142.9</v>
      </c>
      <c r="AD54" s="144">
        <v>148</v>
      </c>
      <c r="AE54" s="143">
        <v>153.19999999999999</v>
      </c>
      <c r="AF54" s="145">
        <v>158.30000000000001</v>
      </c>
      <c r="AG54" s="144">
        <v>163.4</v>
      </c>
      <c r="AH54" s="144">
        <v>168.5</v>
      </c>
      <c r="AI54" s="144">
        <v>173.6</v>
      </c>
      <c r="AJ54" s="159">
        <v>178.7</v>
      </c>
      <c r="AK54" s="158">
        <v>183.8</v>
      </c>
    </row>
    <row r="55" spans="1:37">
      <c r="A55" s="155">
        <v>16</v>
      </c>
      <c r="B55" s="152">
        <v>6.81</v>
      </c>
      <c r="C55" s="151">
        <v>10.89</v>
      </c>
      <c r="D55" s="151">
        <v>16.34</v>
      </c>
      <c r="E55" s="151">
        <v>21.78</v>
      </c>
      <c r="F55" s="151">
        <v>27.23</v>
      </c>
      <c r="G55" s="151">
        <v>32.67</v>
      </c>
      <c r="H55" s="151">
        <v>38.119999999999997</v>
      </c>
      <c r="I55" s="151">
        <v>43.56</v>
      </c>
      <c r="J55" s="151">
        <v>49.01</v>
      </c>
      <c r="K55" s="150">
        <v>54.45</v>
      </c>
      <c r="L55" s="152">
        <v>59.9</v>
      </c>
      <c r="M55" s="151">
        <v>65.34</v>
      </c>
      <c r="N55" s="151">
        <v>70.790000000000006</v>
      </c>
      <c r="O55" s="151">
        <v>76.239999999999995</v>
      </c>
      <c r="P55" s="151">
        <v>81.680000000000007</v>
      </c>
      <c r="Q55" s="151">
        <v>87.13</v>
      </c>
      <c r="R55" s="151">
        <v>92.57</v>
      </c>
      <c r="S55" s="151">
        <v>98.02</v>
      </c>
      <c r="T55" s="151">
        <v>103.5</v>
      </c>
      <c r="U55" s="150">
        <v>108.9</v>
      </c>
      <c r="V55" s="152">
        <v>114.4</v>
      </c>
      <c r="W55" s="151">
        <v>119.8</v>
      </c>
      <c r="X55" s="151">
        <v>125.2</v>
      </c>
      <c r="Y55" s="151">
        <v>130.69999999999999</v>
      </c>
      <c r="Z55" s="151">
        <v>136.1</v>
      </c>
      <c r="AA55" s="151">
        <v>141.6</v>
      </c>
      <c r="AB55" s="151">
        <v>147</v>
      </c>
      <c r="AC55" s="151">
        <v>152.5</v>
      </c>
      <c r="AD55" s="151">
        <v>157.9</v>
      </c>
      <c r="AE55" s="150">
        <v>163.4</v>
      </c>
      <c r="AF55" s="152">
        <v>168.8</v>
      </c>
      <c r="AG55" s="151">
        <v>174.3</v>
      </c>
      <c r="AH55" s="151">
        <v>179.7</v>
      </c>
      <c r="AI55" s="151">
        <v>185.1</v>
      </c>
      <c r="AJ55" s="157">
        <v>190.6</v>
      </c>
      <c r="AK55" s="156">
        <v>196</v>
      </c>
    </row>
    <row r="56" spans="1:37">
      <c r="A56" s="155">
        <v>17</v>
      </c>
      <c r="B56" s="149">
        <v>6.81</v>
      </c>
      <c r="C56" s="148">
        <v>11.8</v>
      </c>
      <c r="D56" s="148">
        <v>17.239999999999998</v>
      </c>
      <c r="E56" s="148">
        <v>23.14</v>
      </c>
      <c r="F56" s="148">
        <v>29.04</v>
      </c>
      <c r="G56" s="148">
        <v>34.94</v>
      </c>
      <c r="H56" s="148">
        <v>40.39</v>
      </c>
      <c r="I56" s="148">
        <v>46.29</v>
      </c>
      <c r="J56" s="148">
        <v>52.07</v>
      </c>
      <c r="K56" s="147">
        <v>57.86</v>
      </c>
      <c r="L56" s="149">
        <v>63.64</v>
      </c>
      <c r="M56" s="148">
        <v>69.430000000000007</v>
      </c>
      <c r="N56" s="148">
        <v>75.209999999999994</v>
      </c>
      <c r="O56" s="148">
        <v>81</v>
      </c>
      <c r="P56" s="148">
        <v>86.79</v>
      </c>
      <c r="Q56" s="148">
        <v>92.57</v>
      </c>
      <c r="R56" s="148">
        <v>98.36</v>
      </c>
      <c r="S56" s="148">
        <v>104.1</v>
      </c>
      <c r="T56" s="148">
        <v>109.9</v>
      </c>
      <c r="U56" s="147">
        <v>115.7</v>
      </c>
      <c r="V56" s="149">
        <v>121.5</v>
      </c>
      <c r="W56" s="148">
        <v>127.3</v>
      </c>
      <c r="X56" s="148">
        <v>133.1</v>
      </c>
      <c r="Y56" s="148">
        <v>138.9</v>
      </c>
      <c r="Z56" s="148">
        <v>144.6</v>
      </c>
      <c r="AA56" s="148">
        <v>150.4</v>
      </c>
      <c r="AB56" s="148">
        <v>156.19999999999999</v>
      </c>
      <c r="AC56" s="148">
        <v>162</v>
      </c>
      <c r="AD56" s="148">
        <v>167.8</v>
      </c>
      <c r="AE56" s="147">
        <v>173.6</v>
      </c>
      <c r="AF56" s="149">
        <v>179.4</v>
      </c>
      <c r="AG56" s="148">
        <v>185.1</v>
      </c>
      <c r="AH56" s="148">
        <v>190.9</v>
      </c>
      <c r="AI56" s="148">
        <v>196.7</v>
      </c>
      <c r="AJ56" s="154">
        <v>202.5</v>
      </c>
      <c r="AK56" s="153">
        <v>208.3</v>
      </c>
    </row>
    <row r="57" spans="1:37">
      <c r="A57" s="155">
        <v>18</v>
      </c>
      <c r="B57" s="149">
        <v>6.81</v>
      </c>
      <c r="C57" s="148">
        <v>12.25</v>
      </c>
      <c r="D57" s="148">
        <v>18.600000000000001</v>
      </c>
      <c r="E57" s="148">
        <v>24.5</v>
      </c>
      <c r="F57" s="148">
        <v>30.86</v>
      </c>
      <c r="G57" s="148">
        <v>36.76</v>
      </c>
      <c r="H57" s="148">
        <v>43.11</v>
      </c>
      <c r="I57" s="148">
        <v>49.01</v>
      </c>
      <c r="J57" s="148">
        <v>55.13</v>
      </c>
      <c r="K57" s="147">
        <v>61.26</v>
      </c>
      <c r="L57" s="149">
        <v>67.39</v>
      </c>
      <c r="M57" s="148">
        <v>73.510000000000005</v>
      </c>
      <c r="N57" s="148">
        <v>79.64</v>
      </c>
      <c r="O57" s="148">
        <v>85.76</v>
      </c>
      <c r="P57" s="148">
        <v>91.89</v>
      </c>
      <c r="Q57" s="148">
        <v>98.02</v>
      </c>
      <c r="R57" s="148">
        <v>104.1</v>
      </c>
      <c r="S57" s="148">
        <v>110.3</v>
      </c>
      <c r="T57" s="148">
        <v>116.4</v>
      </c>
      <c r="U57" s="147">
        <v>122.5</v>
      </c>
      <c r="V57" s="149">
        <v>128.6</v>
      </c>
      <c r="W57" s="148">
        <v>134.80000000000001</v>
      </c>
      <c r="X57" s="148">
        <v>140.9</v>
      </c>
      <c r="Y57" s="148">
        <v>147</v>
      </c>
      <c r="Z57" s="148">
        <v>153.19999999999999</v>
      </c>
      <c r="AA57" s="148">
        <v>159.30000000000001</v>
      </c>
      <c r="AB57" s="148">
        <v>165.4</v>
      </c>
      <c r="AC57" s="148">
        <v>171.5</v>
      </c>
      <c r="AD57" s="148">
        <v>177.7</v>
      </c>
      <c r="AE57" s="147">
        <v>183.8</v>
      </c>
      <c r="AF57" s="149">
        <v>189.9</v>
      </c>
      <c r="AG57" s="148">
        <v>196</v>
      </c>
      <c r="AH57" s="148">
        <v>202.2</v>
      </c>
      <c r="AI57" s="148">
        <v>208.3</v>
      </c>
      <c r="AJ57" s="154">
        <v>214.4</v>
      </c>
      <c r="AK57" s="153">
        <v>220.5</v>
      </c>
    </row>
    <row r="58" spans="1:37">
      <c r="A58" s="155">
        <v>19</v>
      </c>
      <c r="B58" s="149">
        <v>6.81</v>
      </c>
      <c r="C58" s="148">
        <v>13.16</v>
      </c>
      <c r="D58" s="148">
        <v>19.510000000000002</v>
      </c>
      <c r="E58" s="148">
        <v>25.87</v>
      </c>
      <c r="F58" s="148">
        <v>32.67</v>
      </c>
      <c r="G58" s="148">
        <v>39.03</v>
      </c>
      <c r="H58" s="148">
        <v>45.38</v>
      </c>
      <c r="I58" s="148">
        <v>51.73</v>
      </c>
      <c r="J58" s="148">
        <v>58.2</v>
      </c>
      <c r="K58" s="147">
        <v>64.66</v>
      </c>
      <c r="L58" s="149">
        <v>71.13</v>
      </c>
      <c r="M58" s="148">
        <v>77.599999999999994</v>
      </c>
      <c r="N58" s="148">
        <v>84.06</v>
      </c>
      <c r="O58" s="148">
        <v>90.53</v>
      </c>
      <c r="P58" s="148">
        <v>97</v>
      </c>
      <c r="Q58" s="148">
        <v>103.5</v>
      </c>
      <c r="R58" s="148">
        <v>109.9</v>
      </c>
      <c r="S58" s="148">
        <v>116.4</v>
      </c>
      <c r="T58" s="148">
        <v>122.9</v>
      </c>
      <c r="U58" s="147">
        <v>129.30000000000001</v>
      </c>
      <c r="V58" s="149">
        <v>135.80000000000001</v>
      </c>
      <c r="W58" s="148">
        <v>142.30000000000001</v>
      </c>
      <c r="X58" s="148">
        <v>148.69999999999999</v>
      </c>
      <c r="Y58" s="148">
        <v>155.19999999999999</v>
      </c>
      <c r="Z58" s="148">
        <v>161.69999999999999</v>
      </c>
      <c r="AA58" s="148">
        <v>168.1</v>
      </c>
      <c r="AB58" s="148">
        <v>174.6</v>
      </c>
      <c r="AC58" s="148">
        <v>181.1</v>
      </c>
      <c r="AD58" s="148">
        <v>187.5</v>
      </c>
      <c r="AE58" s="147">
        <v>194</v>
      </c>
      <c r="AF58" s="149">
        <v>200.5</v>
      </c>
      <c r="AG58" s="148">
        <v>206.9</v>
      </c>
      <c r="AH58" s="148">
        <v>213.4</v>
      </c>
      <c r="AI58" s="148">
        <v>219.9</v>
      </c>
      <c r="AJ58" s="154">
        <v>226.3</v>
      </c>
      <c r="AK58" s="153">
        <v>232.8</v>
      </c>
    </row>
    <row r="59" spans="1:37">
      <c r="A59" s="155">
        <v>20</v>
      </c>
      <c r="B59" s="145">
        <v>6.81</v>
      </c>
      <c r="C59" s="144">
        <v>13.61</v>
      </c>
      <c r="D59" s="144">
        <v>20.420000000000002</v>
      </c>
      <c r="E59" s="144">
        <v>27.23</v>
      </c>
      <c r="F59" s="144">
        <v>34.03</v>
      </c>
      <c r="G59" s="144">
        <v>40.840000000000003</v>
      </c>
      <c r="H59" s="144">
        <v>47.65</v>
      </c>
      <c r="I59" s="144">
        <v>54.45</v>
      </c>
      <c r="J59" s="144">
        <v>61.26</v>
      </c>
      <c r="K59" s="143">
        <v>68.069999999999993</v>
      </c>
      <c r="L59" s="145">
        <v>74.87</v>
      </c>
      <c r="M59" s="144">
        <v>81.680000000000007</v>
      </c>
      <c r="N59" s="144">
        <v>88.49</v>
      </c>
      <c r="O59" s="144">
        <v>95.29</v>
      </c>
      <c r="P59" s="144">
        <v>102.1</v>
      </c>
      <c r="Q59" s="144">
        <v>108.9</v>
      </c>
      <c r="R59" s="144">
        <v>115.7</v>
      </c>
      <c r="S59" s="144">
        <v>122.5</v>
      </c>
      <c r="T59" s="144">
        <v>129.30000000000001</v>
      </c>
      <c r="U59" s="143">
        <v>136.1</v>
      </c>
      <c r="V59" s="145">
        <v>142.9</v>
      </c>
      <c r="W59" s="144">
        <v>149.69999999999999</v>
      </c>
      <c r="X59" s="144">
        <v>156.6</v>
      </c>
      <c r="Y59" s="144">
        <v>163.4</v>
      </c>
      <c r="Z59" s="144">
        <v>170.2</v>
      </c>
      <c r="AA59" s="144">
        <v>177</v>
      </c>
      <c r="AB59" s="144">
        <v>183.8</v>
      </c>
      <c r="AC59" s="144">
        <v>190.6</v>
      </c>
      <c r="AD59" s="144">
        <v>197.4</v>
      </c>
      <c r="AE59" s="143">
        <v>204.2</v>
      </c>
      <c r="AF59" s="145">
        <v>211</v>
      </c>
      <c r="AG59" s="144">
        <v>217.8</v>
      </c>
      <c r="AH59" s="144">
        <v>224.6</v>
      </c>
      <c r="AI59" s="144">
        <v>231.4</v>
      </c>
      <c r="AJ59" s="159">
        <v>238.2</v>
      </c>
      <c r="AK59" s="158">
        <v>245</v>
      </c>
    </row>
    <row r="60" spans="1:37">
      <c r="A60" s="155">
        <v>21</v>
      </c>
      <c r="B60" s="152">
        <v>7.26</v>
      </c>
      <c r="C60" s="151">
        <v>14.52</v>
      </c>
      <c r="D60" s="151">
        <v>21.33</v>
      </c>
      <c r="E60" s="151">
        <v>28.59</v>
      </c>
      <c r="F60" s="151">
        <v>35.85</v>
      </c>
      <c r="G60" s="151">
        <v>43.11</v>
      </c>
      <c r="H60" s="151">
        <v>50.03</v>
      </c>
      <c r="I60" s="151">
        <v>57.18</v>
      </c>
      <c r="J60" s="151">
        <v>64.319999999999993</v>
      </c>
      <c r="K60" s="150">
        <v>71.47</v>
      </c>
      <c r="L60" s="152">
        <v>78.62</v>
      </c>
      <c r="M60" s="151">
        <v>85.76</v>
      </c>
      <c r="N60" s="151">
        <v>92.91</v>
      </c>
      <c r="O60" s="151">
        <v>100.1</v>
      </c>
      <c r="P60" s="151">
        <v>107.2</v>
      </c>
      <c r="Q60" s="151">
        <v>114.4</v>
      </c>
      <c r="R60" s="151">
        <v>121.5</v>
      </c>
      <c r="S60" s="151">
        <v>128.6</v>
      </c>
      <c r="T60" s="151">
        <v>135.80000000000001</v>
      </c>
      <c r="U60" s="150">
        <v>142.9</v>
      </c>
      <c r="V60" s="152">
        <v>150.1</v>
      </c>
      <c r="W60" s="151">
        <v>157.19999999999999</v>
      </c>
      <c r="X60" s="151">
        <v>164.4</v>
      </c>
      <c r="Y60" s="151">
        <v>171.5</v>
      </c>
      <c r="Z60" s="151">
        <v>178.7</v>
      </c>
      <c r="AA60" s="151">
        <v>185.8</v>
      </c>
      <c r="AB60" s="151">
        <v>193</v>
      </c>
      <c r="AC60" s="151">
        <v>200.1</v>
      </c>
      <c r="AD60" s="151">
        <v>207.3</v>
      </c>
      <c r="AE60" s="150">
        <v>214.4</v>
      </c>
      <c r="AF60" s="152">
        <v>221.6</v>
      </c>
      <c r="AG60" s="151">
        <v>228.7</v>
      </c>
      <c r="AH60" s="151">
        <v>235.9</v>
      </c>
      <c r="AI60" s="151">
        <v>243</v>
      </c>
      <c r="AJ60" s="157">
        <v>250.1</v>
      </c>
      <c r="AK60" s="156">
        <v>257.3</v>
      </c>
    </row>
    <row r="61" spans="1:37">
      <c r="A61" s="155">
        <v>22</v>
      </c>
      <c r="B61" s="149">
        <v>7.71</v>
      </c>
      <c r="C61" s="148">
        <v>14.97</v>
      </c>
      <c r="D61" s="148">
        <v>22.69</v>
      </c>
      <c r="E61" s="148">
        <v>29.95</v>
      </c>
      <c r="F61" s="148">
        <v>37.659999999999997</v>
      </c>
      <c r="G61" s="148">
        <v>44.92</v>
      </c>
      <c r="H61" s="148">
        <v>52.41</v>
      </c>
      <c r="I61" s="148">
        <v>59.9</v>
      </c>
      <c r="J61" s="148">
        <v>67.39</v>
      </c>
      <c r="K61" s="147">
        <v>74.87</v>
      </c>
      <c r="L61" s="149">
        <v>82.36</v>
      </c>
      <c r="M61" s="148">
        <v>89.85</v>
      </c>
      <c r="N61" s="148">
        <v>97.34</v>
      </c>
      <c r="O61" s="148">
        <v>104.8</v>
      </c>
      <c r="P61" s="148">
        <v>112.3</v>
      </c>
      <c r="Q61" s="148">
        <v>119.8</v>
      </c>
      <c r="R61" s="148">
        <v>127.3</v>
      </c>
      <c r="S61" s="148">
        <v>134.80000000000001</v>
      </c>
      <c r="T61" s="148">
        <v>142.30000000000001</v>
      </c>
      <c r="U61" s="147">
        <v>149.69999999999999</v>
      </c>
      <c r="V61" s="149">
        <v>157.19999999999999</v>
      </c>
      <c r="W61" s="148">
        <v>164.7</v>
      </c>
      <c r="X61" s="148">
        <v>172.2</v>
      </c>
      <c r="Y61" s="148">
        <v>179.7</v>
      </c>
      <c r="Z61" s="148">
        <v>187.2</v>
      </c>
      <c r="AA61" s="148">
        <v>194.7</v>
      </c>
      <c r="AB61" s="148">
        <v>202.2</v>
      </c>
      <c r="AC61" s="148">
        <v>209.6</v>
      </c>
      <c r="AD61" s="148">
        <v>217.1</v>
      </c>
      <c r="AE61" s="147">
        <v>224.6</v>
      </c>
      <c r="AF61" s="149">
        <v>232.1</v>
      </c>
      <c r="AG61" s="148">
        <v>239.6</v>
      </c>
      <c r="AH61" s="148">
        <v>247.1</v>
      </c>
      <c r="AI61" s="148">
        <v>254.6</v>
      </c>
      <c r="AJ61" s="154">
        <v>262.10000000000002</v>
      </c>
      <c r="AK61" s="153">
        <v>269.5</v>
      </c>
    </row>
    <row r="62" spans="1:37">
      <c r="A62" s="155">
        <v>23</v>
      </c>
      <c r="B62" s="149">
        <v>7.71</v>
      </c>
      <c r="C62" s="148">
        <v>15.88</v>
      </c>
      <c r="D62" s="148">
        <v>23.6</v>
      </c>
      <c r="E62" s="148">
        <v>31.31</v>
      </c>
      <c r="F62" s="148">
        <v>39.03</v>
      </c>
      <c r="G62" s="148">
        <v>46.97</v>
      </c>
      <c r="H62" s="148">
        <v>54.79</v>
      </c>
      <c r="I62" s="148">
        <v>62.62</v>
      </c>
      <c r="J62" s="148">
        <v>70.45</v>
      </c>
      <c r="K62" s="147">
        <v>78.28</v>
      </c>
      <c r="L62" s="149">
        <v>86.1</v>
      </c>
      <c r="M62" s="148">
        <v>93.93</v>
      </c>
      <c r="N62" s="148">
        <v>101.8</v>
      </c>
      <c r="O62" s="148">
        <v>109.6</v>
      </c>
      <c r="P62" s="148">
        <v>117.4</v>
      </c>
      <c r="Q62" s="148">
        <v>125.2</v>
      </c>
      <c r="R62" s="148">
        <v>133.1</v>
      </c>
      <c r="S62" s="148">
        <v>140.9</v>
      </c>
      <c r="T62" s="148">
        <v>148.69999999999999</v>
      </c>
      <c r="U62" s="147">
        <v>156.6</v>
      </c>
      <c r="V62" s="149">
        <v>164.4</v>
      </c>
      <c r="W62" s="148">
        <v>172.2</v>
      </c>
      <c r="X62" s="148">
        <v>180</v>
      </c>
      <c r="Y62" s="148">
        <v>187.9</v>
      </c>
      <c r="Z62" s="148">
        <v>195.7</v>
      </c>
      <c r="AA62" s="148">
        <v>203.5</v>
      </c>
      <c r="AB62" s="148">
        <v>211.3</v>
      </c>
      <c r="AC62" s="148">
        <v>219.2</v>
      </c>
      <c r="AD62" s="148">
        <v>227</v>
      </c>
      <c r="AE62" s="147">
        <v>234.8</v>
      </c>
      <c r="AF62" s="149">
        <v>242.7</v>
      </c>
      <c r="AG62" s="148">
        <v>250.5</v>
      </c>
      <c r="AH62" s="148">
        <v>258.3</v>
      </c>
      <c r="AI62" s="148">
        <v>266.10000000000002</v>
      </c>
      <c r="AJ62" s="154">
        <v>274</v>
      </c>
      <c r="AK62" s="153">
        <v>281.8</v>
      </c>
    </row>
    <row r="63" spans="1:37">
      <c r="A63" s="155">
        <v>24</v>
      </c>
      <c r="B63" s="149">
        <v>8.17</v>
      </c>
      <c r="C63" s="148">
        <v>16.34</v>
      </c>
      <c r="D63" s="148">
        <v>24.5</v>
      </c>
      <c r="E63" s="148">
        <v>32.67</v>
      </c>
      <c r="F63" s="148">
        <v>40.840000000000003</v>
      </c>
      <c r="G63" s="148">
        <v>49.01</v>
      </c>
      <c r="H63" s="148">
        <v>57.18</v>
      </c>
      <c r="I63" s="148">
        <v>65.34</v>
      </c>
      <c r="J63" s="148">
        <v>73.510000000000005</v>
      </c>
      <c r="K63" s="147">
        <v>81.680000000000007</v>
      </c>
      <c r="L63" s="149">
        <v>89.85</v>
      </c>
      <c r="M63" s="148">
        <v>98.02</v>
      </c>
      <c r="N63" s="148">
        <v>106.2</v>
      </c>
      <c r="O63" s="148">
        <v>114.4</v>
      </c>
      <c r="P63" s="148">
        <v>122.5</v>
      </c>
      <c r="Q63" s="148">
        <v>130.69999999999999</v>
      </c>
      <c r="R63" s="148">
        <v>138.9</v>
      </c>
      <c r="S63" s="148">
        <v>147</v>
      </c>
      <c r="T63" s="148">
        <v>155.19999999999999</v>
      </c>
      <c r="U63" s="147">
        <v>163.4</v>
      </c>
      <c r="V63" s="149">
        <v>171.5</v>
      </c>
      <c r="W63" s="148">
        <v>179.7</v>
      </c>
      <c r="X63" s="148">
        <v>187.9</v>
      </c>
      <c r="Y63" s="148">
        <v>196</v>
      </c>
      <c r="Z63" s="148">
        <v>204.2</v>
      </c>
      <c r="AA63" s="148">
        <v>212.4</v>
      </c>
      <c r="AB63" s="148">
        <v>220.5</v>
      </c>
      <c r="AC63" s="148">
        <v>228.7</v>
      </c>
      <c r="AD63" s="148">
        <v>236.9</v>
      </c>
      <c r="AE63" s="147">
        <v>245</v>
      </c>
      <c r="AF63" s="149">
        <v>253.2</v>
      </c>
      <c r="AG63" s="148">
        <v>261.39999999999998</v>
      </c>
      <c r="AH63" s="148">
        <v>269.5</v>
      </c>
      <c r="AI63" s="148">
        <v>277.7</v>
      </c>
      <c r="AJ63" s="154">
        <v>285.89999999999998</v>
      </c>
      <c r="AK63" s="153">
        <v>294</v>
      </c>
    </row>
    <row r="64" spans="1:37">
      <c r="A64" s="146">
        <v>25</v>
      </c>
      <c r="B64" s="145">
        <v>8.6199999999999992</v>
      </c>
      <c r="C64" s="144">
        <v>17.239999999999998</v>
      </c>
      <c r="D64" s="144">
        <v>25.41</v>
      </c>
      <c r="E64" s="144">
        <v>34.03</v>
      </c>
      <c r="F64" s="144">
        <v>42.66</v>
      </c>
      <c r="G64" s="144">
        <v>51.05</v>
      </c>
      <c r="H64" s="144">
        <v>59.56</v>
      </c>
      <c r="I64" s="144">
        <v>68.069999999999993</v>
      </c>
      <c r="J64" s="144">
        <v>76.58</v>
      </c>
      <c r="K64" s="143">
        <v>85.08</v>
      </c>
      <c r="L64" s="145">
        <v>93.59</v>
      </c>
      <c r="M64" s="144">
        <v>102.1</v>
      </c>
      <c r="N64" s="144">
        <v>110.6</v>
      </c>
      <c r="O64" s="144">
        <v>119.1</v>
      </c>
      <c r="P64" s="144">
        <v>127.6</v>
      </c>
      <c r="Q64" s="144">
        <v>136.1</v>
      </c>
      <c r="R64" s="144">
        <v>144.6</v>
      </c>
      <c r="S64" s="144">
        <v>153.19999999999999</v>
      </c>
      <c r="T64" s="144">
        <v>161.69999999999999</v>
      </c>
      <c r="U64" s="143">
        <v>170.2</v>
      </c>
      <c r="V64" s="145">
        <v>178.7</v>
      </c>
      <c r="W64" s="144">
        <v>187.2</v>
      </c>
      <c r="X64" s="144">
        <v>195.7</v>
      </c>
      <c r="Y64" s="144">
        <v>204.2</v>
      </c>
      <c r="Z64" s="144">
        <v>212.7</v>
      </c>
      <c r="AA64" s="144">
        <v>221.2</v>
      </c>
      <c r="AB64" s="144">
        <v>229.7</v>
      </c>
      <c r="AC64" s="144">
        <v>238.2</v>
      </c>
      <c r="AD64" s="144">
        <v>246.7</v>
      </c>
      <c r="AE64" s="143">
        <v>255.3</v>
      </c>
      <c r="AF64" s="145">
        <v>263.8</v>
      </c>
      <c r="AG64" s="144">
        <v>272.3</v>
      </c>
      <c r="AH64" s="144">
        <v>280.8</v>
      </c>
      <c r="AI64" s="144">
        <v>289.3</v>
      </c>
      <c r="AJ64" s="144">
        <v>297.8</v>
      </c>
      <c r="AK64" s="143">
        <v>306.3</v>
      </c>
    </row>
    <row r="65" spans="1:49">
      <c r="A65" s="146">
        <v>26</v>
      </c>
      <c r="B65" s="152">
        <v>9.08</v>
      </c>
      <c r="C65" s="151">
        <v>17.7</v>
      </c>
      <c r="D65" s="151">
        <v>26.77</v>
      </c>
      <c r="E65" s="151">
        <v>35.39</v>
      </c>
      <c r="F65" s="151">
        <v>44.47</v>
      </c>
      <c r="G65" s="151">
        <v>53.09</v>
      </c>
      <c r="H65" s="151">
        <v>61.94</v>
      </c>
      <c r="I65" s="151">
        <v>70.790000000000006</v>
      </c>
      <c r="J65" s="151">
        <v>79.64</v>
      </c>
      <c r="K65" s="150">
        <v>88.49</v>
      </c>
      <c r="L65" s="152">
        <v>97.34</v>
      </c>
      <c r="M65" s="151">
        <v>106.2</v>
      </c>
      <c r="N65" s="151">
        <v>115</v>
      </c>
      <c r="O65" s="151">
        <v>123.9</v>
      </c>
      <c r="P65" s="151">
        <v>132.69999999999999</v>
      </c>
      <c r="Q65" s="151">
        <v>141.6</v>
      </c>
      <c r="R65" s="151">
        <v>150.4</v>
      </c>
      <c r="S65" s="151">
        <v>159.30000000000001</v>
      </c>
      <c r="T65" s="151">
        <v>168.1</v>
      </c>
      <c r="U65" s="150">
        <v>177</v>
      </c>
      <c r="V65" s="152">
        <v>185.8</v>
      </c>
      <c r="W65" s="151">
        <v>194.7</v>
      </c>
      <c r="X65" s="151">
        <v>203.5</v>
      </c>
      <c r="Y65" s="151">
        <v>212.4</v>
      </c>
      <c r="Z65" s="151">
        <v>221.2</v>
      </c>
      <c r="AA65" s="151">
        <v>230.1</v>
      </c>
      <c r="AB65" s="151">
        <v>238.9</v>
      </c>
      <c r="AC65" s="151">
        <v>247.8</v>
      </c>
      <c r="AD65" s="151">
        <v>256.60000000000002</v>
      </c>
      <c r="AE65" s="150">
        <v>265.5</v>
      </c>
      <c r="AF65" s="152">
        <v>274.3</v>
      </c>
      <c r="AG65" s="151">
        <v>283.2</v>
      </c>
      <c r="AH65" s="151">
        <v>292</v>
      </c>
      <c r="AI65" s="151">
        <v>300.89999999999998</v>
      </c>
      <c r="AJ65" s="151">
        <v>309.7</v>
      </c>
      <c r="AK65" s="150">
        <v>318.60000000000002</v>
      </c>
    </row>
    <row r="66" spans="1:49">
      <c r="A66" s="146">
        <v>27</v>
      </c>
      <c r="B66" s="149">
        <v>9.08</v>
      </c>
      <c r="C66" s="148">
        <v>18.600000000000001</v>
      </c>
      <c r="D66" s="148">
        <v>27.68</v>
      </c>
      <c r="E66" s="148">
        <v>36.76</v>
      </c>
      <c r="F66" s="148">
        <v>45.83</v>
      </c>
      <c r="G66" s="148">
        <v>55.13</v>
      </c>
      <c r="H66" s="148">
        <v>64.319999999999993</v>
      </c>
      <c r="I66" s="148">
        <v>73.510000000000005</v>
      </c>
      <c r="J66" s="148">
        <v>82.7</v>
      </c>
      <c r="K66" s="147">
        <v>91.89</v>
      </c>
      <c r="L66" s="149">
        <v>101.1</v>
      </c>
      <c r="M66" s="148">
        <v>110.3</v>
      </c>
      <c r="N66" s="148">
        <v>119.5</v>
      </c>
      <c r="O66" s="148">
        <v>128.6</v>
      </c>
      <c r="P66" s="148">
        <v>137.80000000000001</v>
      </c>
      <c r="Q66" s="148">
        <v>147</v>
      </c>
      <c r="R66" s="148">
        <v>156.19999999999999</v>
      </c>
      <c r="S66" s="148">
        <v>165.4</v>
      </c>
      <c r="T66" s="148">
        <v>174.6</v>
      </c>
      <c r="U66" s="147">
        <v>183.8</v>
      </c>
      <c r="V66" s="149">
        <v>193</v>
      </c>
      <c r="W66" s="148">
        <v>202.2</v>
      </c>
      <c r="X66" s="148">
        <v>211.3</v>
      </c>
      <c r="Y66" s="148">
        <v>220.5</v>
      </c>
      <c r="Z66" s="148">
        <v>229.7</v>
      </c>
      <c r="AA66" s="148">
        <v>238.9</v>
      </c>
      <c r="AB66" s="148">
        <v>248.1</v>
      </c>
      <c r="AC66" s="148">
        <v>257.3</v>
      </c>
      <c r="AD66" s="148">
        <v>266.5</v>
      </c>
      <c r="AE66" s="147">
        <v>275.7</v>
      </c>
      <c r="AF66" s="149">
        <v>284.89999999999998</v>
      </c>
      <c r="AG66" s="148">
        <v>294</v>
      </c>
      <c r="AH66" s="148">
        <v>303.2</v>
      </c>
      <c r="AI66" s="148">
        <v>312.39999999999998</v>
      </c>
      <c r="AJ66" s="148">
        <v>321.60000000000002</v>
      </c>
      <c r="AK66" s="147">
        <v>330.8</v>
      </c>
    </row>
    <row r="67" spans="1:49">
      <c r="A67" s="146">
        <v>28</v>
      </c>
      <c r="B67" s="149">
        <v>9.5299999999999994</v>
      </c>
      <c r="C67" s="148">
        <v>19.059999999999999</v>
      </c>
      <c r="D67" s="148">
        <v>28.59</v>
      </c>
      <c r="E67" s="148">
        <v>38.119999999999997</v>
      </c>
      <c r="F67" s="148">
        <v>47.65</v>
      </c>
      <c r="G67" s="148">
        <v>57.18</v>
      </c>
      <c r="H67" s="148">
        <v>66.709999999999994</v>
      </c>
      <c r="I67" s="148">
        <v>76.239999999999995</v>
      </c>
      <c r="J67" s="148">
        <v>85.76</v>
      </c>
      <c r="K67" s="147">
        <v>95.29</v>
      </c>
      <c r="L67" s="149">
        <v>104.8</v>
      </c>
      <c r="M67" s="148">
        <v>114.4</v>
      </c>
      <c r="N67" s="148">
        <v>123.9</v>
      </c>
      <c r="O67" s="148">
        <v>133.4</v>
      </c>
      <c r="P67" s="148">
        <v>142.9</v>
      </c>
      <c r="Q67" s="148">
        <v>152.5</v>
      </c>
      <c r="R67" s="148">
        <v>162</v>
      </c>
      <c r="S67" s="148">
        <v>171.5</v>
      </c>
      <c r="T67" s="148">
        <v>181.1</v>
      </c>
      <c r="U67" s="147">
        <v>190.6</v>
      </c>
      <c r="V67" s="149">
        <v>200.1</v>
      </c>
      <c r="W67" s="148">
        <v>209.6</v>
      </c>
      <c r="X67" s="148">
        <v>219.2</v>
      </c>
      <c r="Y67" s="148">
        <v>228.7</v>
      </c>
      <c r="Z67" s="148">
        <v>238.2</v>
      </c>
      <c r="AA67" s="148">
        <v>247.8</v>
      </c>
      <c r="AB67" s="148">
        <v>257.3</v>
      </c>
      <c r="AC67" s="148">
        <v>266.8</v>
      </c>
      <c r="AD67" s="148">
        <v>276.39999999999998</v>
      </c>
      <c r="AE67" s="147">
        <v>285.89999999999998</v>
      </c>
      <c r="AF67" s="149">
        <v>295.39999999999998</v>
      </c>
      <c r="AG67" s="148">
        <v>304.89999999999998</v>
      </c>
      <c r="AH67" s="148">
        <v>314.5</v>
      </c>
      <c r="AI67" s="148">
        <v>324</v>
      </c>
      <c r="AJ67" s="148">
        <v>333.5</v>
      </c>
      <c r="AK67" s="147">
        <v>343.1</v>
      </c>
    </row>
    <row r="68" spans="1:49">
      <c r="A68" s="146">
        <v>29</v>
      </c>
      <c r="B68" s="149">
        <v>9.98</v>
      </c>
      <c r="C68" s="148">
        <v>19.97</v>
      </c>
      <c r="D68" s="148">
        <v>29.5</v>
      </c>
      <c r="E68" s="148">
        <v>39.479999999999997</v>
      </c>
      <c r="F68" s="148">
        <v>49.46</v>
      </c>
      <c r="G68" s="148">
        <v>59.22</v>
      </c>
      <c r="H68" s="148">
        <v>69.09</v>
      </c>
      <c r="I68" s="148">
        <v>78.959999999999994</v>
      </c>
      <c r="J68" s="148">
        <v>88.83</v>
      </c>
      <c r="K68" s="147">
        <v>98.7</v>
      </c>
      <c r="L68" s="149">
        <v>108.6</v>
      </c>
      <c r="M68" s="148">
        <v>118.4</v>
      </c>
      <c r="N68" s="148">
        <v>128.30000000000001</v>
      </c>
      <c r="O68" s="148">
        <v>138.19999999999999</v>
      </c>
      <c r="P68" s="148">
        <v>148</v>
      </c>
      <c r="Q68" s="148">
        <v>157.9</v>
      </c>
      <c r="R68" s="148">
        <v>167.8</v>
      </c>
      <c r="S68" s="148">
        <v>177.7</v>
      </c>
      <c r="T68" s="148">
        <v>187.5</v>
      </c>
      <c r="U68" s="147">
        <v>197.4</v>
      </c>
      <c r="V68" s="149">
        <v>207.3</v>
      </c>
      <c r="W68" s="148">
        <v>217.1</v>
      </c>
      <c r="X68" s="148">
        <v>227</v>
      </c>
      <c r="Y68" s="148">
        <v>236.9</v>
      </c>
      <c r="Z68" s="148">
        <v>246.7</v>
      </c>
      <c r="AA68" s="148">
        <v>256.60000000000002</v>
      </c>
      <c r="AB68" s="148">
        <v>266.5</v>
      </c>
      <c r="AC68" s="148">
        <v>276.39999999999998</v>
      </c>
      <c r="AD68" s="148">
        <v>286.2</v>
      </c>
      <c r="AE68" s="147">
        <v>296.10000000000002</v>
      </c>
      <c r="AF68" s="149">
        <v>306</v>
      </c>
      <c r="AG68" s="148">
        <v>315.8</v>
      </c>
      <c r="AH68" s="148">
        <v>325.7</v>
      </c>
      <c r="AI68" s="148">
        <v>335.6</v>
      </c>
      <c r="AJ68" s="148">
        <v>345.4</v>
      </c>
      <c r="AK68" s="147">
        <v>355.3</v>
      </c>
    </row>
    <row r="69" spans="1:49">
      <c r="A69" s="146">
        <v>30</v>
      </c>
      <c r="B69" s="145">
        <v>10.44</v>
      </c>
      <c r="C69" s="144">
        <v>20.420000000000002</v>
      </c>
      <c r="D69" s="144">
        <v>30.86</v>
      </c>
      <c r="E69" s="144">
        <v>40.840000000000003</v>
      </c>
      <c r="F69" s="144">
        <v>51.28</v>
      </c>
      <c r="G69" s="144">
        <v>61.26</v>
      </c>
      <c r="H69" s="144">
        <v>71.47</v>
      </c>
      <c r="I69" s="144">
        <v>81.680000000000007</v>
      </c>
      <c r="J69" s="144">
        <v>91.89</v>
      </c>
      <c r="K69" s="143">
        <v>102.1</v>
      </c>
      <c r="L69" s="145">
        <v>112.3</v>
      </c>
      <c r="M69" s="144">
        <v>122.5</v>
      </c>
      <c r="N69" s="144">
        <v>132.69999999999999</v>
      </c>
      <c r="O69" s="144">
        <v>142.9</v>
      </c>
      <c r="P69" s="144">
        <v>153.19999999999999</v>
      </c>
      <c r="Q69" s="144">
        <v>163.4</v>
      </c>
      <c r="R69" s="144">
        <v>173.6</v>
      </c>
      <c r="S69" s="144">
        <v>183.8</v>
      </c>
      <c r="T69" s="144">
        <v>194</v>
      </c>
      <c r="U69" s="143">
        <v>204.2</v>
      </c>
      <c r="V69" s="145">
        <v>214.4</v>
      </c>
      <c r="W69" s="144">
        <v>224.6</v>
      </c>
      <c r="X69" s="144">
        <v>234.8</v>
      </c>
      <c r="Y69" s="144">
        <v>245</v>
      </c>
      <c r="Z69" s="144">
        <v>255.3</v>
      </c>
      <c r="AA69" s="144">
        <v>265.5</v>
      </c>
      <c r="AB69" s="144">
        <v>275.7</v>
      </c>
      <c r="AC69" s="144">
        <v>285.89999999999998</v>
      </c>
      <c r="AD69" s="144">
        <v>296.10000000000002</v>
      </c>
      <c r="AE69" s="143">
        <v>306.3</v>
      </c>
      <c r="AF69" s="145">
        <v>316.5</v>
      </c>
      <c r="AG69" s="144">
        <v>326.7</v>
      </c>
      <c r="AH69" s="144">
        <v>336.9</v>
      </c>
      <c r="AI69" s="144">
        <v>347.1</v>
      </c>
      <c r="AJ69" s="144">
        <v>357.4</v>
      </c>
      <c r="AK69" s="143">
        <v>367.6</v>
      </c>
    </row>
    <row r="70" spans="1:49"/>
    <row r="71" spans="1:49" hidden="1">
      <c r="AA71" s="180"/>
      <c r="AB71" s="181"/>
      <c r="AC71" s="180"/>
      <c r="AD71" s="181"/>
      <c r="AE71" s="181"/>
      <c r="AF71" s="181"/>
      <c r="AG71" s="181"/>
      <c r="AH71" s="181"/>
      <c r="AI71" s="181"/>
      <c r="AJ71" s="181"/>
    </row>
    <row r="72" spans="1:49" ht="14.25" hidden="1">
      <c r="AM72" s="142"/>
      <c r="AN72" s="133"/>
      <c r="AO72" s="133"/>
      <c r="AP72" s="133"/>
      <c r="AQ72" s="133"/>
      <c r="AR72" s="133"/>
      <c r="AS72" s="133"/>
      <c r="AT72" s="133"/>
      <c r="AU72" s="133"/>
      <c r="AV72" s="133"/>
      <c r="AW72" s="133"/>
    </row>
    <row r="73" spans="1:49" ht="15" hidden="1">
      <c r="AA73" s="182"/>
      <c r="AM73" s="142"/>
      <c r="AN73" s="133"/>
      <c r="AO73" s="133"/>
      <c r="AP73" s="133"/>
      <c r="AQ73" s="133"/>
      <c r="AR73" s="133"/>
      <c r="AS73" s="133"/>
      <c r="AT73" s="133"/>
      <c r="AU73" s="133"/>
      <c r="AV73" s="133"/>
      <c r="AW73" s="133"/>
    </row>
    <row r="74" spans="1:49" ht="14.25" hidden="1">
      <c r="AM74" s="133"/>
      <c r="AN74" s="133"/>
      <c r="AO74" s="133"/>
      <c r="AP74" s="133"/>
      <c r="AQ74" s="133"/>
      <c r="AR74" s="133"/>
      <c r="AS74" s="133"/>
      <c r="AT74" s="133"/>
      <c r="AU74" s="133"/>
      <c r="AV74" s="133"/>
      <c r="AW74" s="133"/>
    </row>
    <row r="75" spans="1:49" ht="14.25" hidden="1">
      <c r="P75" s="183"/>
      <c r="Q75" s="183"/>
      <c r="R75" s="183"/>
      <c r="S75" s="183"/>
      <c r="T75" s="183"/>
      <c r="U75" s="183"/>
      <c r="V75" s="183"/>
      <c r="W75" s="183"/>
      <c r="X75" s="183"/>
      <c r="Y75" s="183"/>
      <c r="AA75" s="184"/>
      <c r="AB75" s="185"/>
      <c r="AM75" s="142"/>
      <c r="AN75" s="133"/>
      <c r="AO75" s="133"/>
      <c r="AP75" s="133"/>
      <c r="AQ75" s="133"/>
      <c r="AR75" s="133"/>
      <c r="AS75" s="133"/>
      <c r="AT75" s="133"/>
      <c r="AU75" s="133"/>
      <c r="AV75" s="133"/>
      <c r="AW75" s="133"/>
    </row>
    <row r="76" spans="1:49" ht="14.25" hidden="1">
      <c r="P76" s="183"/>
      <c r="Q76" s="183"/>
      <c r="R76" s="183"/>
      <c r="S76" s="183"/>
      <c r="T76" s="183"/>
      <c r="U76" s="183"/>
      <c r="V76" s="183"/>
      <c r="W76" s="183"/>
      <c r="X76" s="183"/>
      <c r="Y76" s="183"/>
      <c r="AB76" s="183"/>
      <c r="AC76" s="116"/>
      <c r="AD76" s="116"/>
      <c r="AE76" s="116"/>
      <c r="AF76" s="186"/>
      <c r="AG76" s="116"/>
      <c r="AM76" s="133"/>
      <c r="AN76" s="133"/>
      <c r="AO76" s="133"/>
      <c r="AP76" s="133"/>
      <c r="AQ76" s="133"/>
      <c r="AR76" s="133"/>
      <c r="AS76" s="133"/>
      <c r="AT76" s="133"/>
      <c r="AU76" s="133"/>
      <c r="AV76" s="133"/>
      <c r="AW76" s="133"/>
    </row>
    <row r="77" spans="1:49" ht="14.25" hidden="1">
      <c r="P77" s="183"/>
      <c r="Q77" s="183"/>
      <c r="R77" s="183"/>
      <c r="S77" s="183"/>
      <c r="T77" s="183"/>
      <c r="U77" s="183"/>
      <c r="V77" s="183"/>
      <c r="W77" s="183"/>
      <c r="X77" s="183"/>
      <c r="Y77" s="183"/>
      <c r="AA77" s="184"/>
      <c r="AB77" s="185"/>
      <c r="AC77" s="187"/>
      <c r="AD77" s="187"/>
      <c r="AE77" s="188"/>
      <c r="AF77" s="189"/>
      <c r="AG77" s="190"/>
      <c r="AH77" s="191"/>
      <c r="AM77" s="142"/>
      <c r="AN77" s="133"/>
      <c r="AO77" s="133"/>
      <c r="AP77" s="133"/>
      <c r="AQ77" s="133"/>
      <c r="AR77" s="133"/>
      <c r="AS77" s="133"/>
      <c r="AT77" s="133"/>
      <c r="AU77" s="133"/>
      <c r="AV77" s="133"/>
      <c r="AW77" s="133"/>
    </row>
    <row r="78" spans="1:49" ht="14.25" hidden="1">
      <c r="P78" s="183"/>
      <c r="Q78" s="183"/>
      <c r="R78" s="183"/>
      <c r="S78" s="183"/>
      <c r="T78" s="183"/>
      <c r="U78" s="183"/>
      <c r="V78" s="183"/>
      <c r="W78" s="183"/>
      <c r="X78" s="183"/>
      <c r="Y78" s="183"/>
      <c r="AA78" s="184"/>
      <c r="AB78" s="192"/>
    </row>
    <row r="79" spans="1:49" ht="14.25" hidden="1">
      <c r="P79" s="183"/>
      <c r="Q79" s="183"/>
      <c r="R79" s="183"/>
      <c r="S79" s="183"/>
      <c r="T79" s="183"/>
      <c r="U79" s="183"/>
      <c r="V79" s="183"/>
      <c r="W79" s="183"/>
      <c r="X79" s="183"/>
      <c r="Y79" s="183"/>
      <c r="AA79" s="184"/>
      <c r="AB79" s="183"/>
      <c r="AD79" s="191"/>
    </row>
    <row r="80" spans="1:49" ht="14.25" hidden="1">
      <c r="P80" s="183"/>
      <c r="Q80" s="183"/>
      <c r="R80" s="183"/>
      <c r="S80" s="183"/>
      <c r="T80" s="183"/>
      <c r="U80" s="183"/>
      <c r="V80" s="183"/>
      <c r="W80" s="183"/>
      <c r="X80" s="183"/>
      <c r="Y80" s="183"/>
      <c r="AB80" s="183"/>
    </row>
    <row r="81" spans="16:36" ht="14.25" hidden="1">
      <c r="P81" s="183"/>
      <c r="Q81" s="183"/>
      <c r="R81" s="183"/>
      <c r="S81" s="183"/>
      <c r="T81" s="183"/>
      <c r="U81" s="183"/>
      <c r="V81" s="183"/>
      <c r="W81" s="183"/>
      <c r="X81" s="183"/>
      <c r="Y81" s="183"/>
      <c r="AA81" s="184"/>
      <c r="AB81" s="183"/>
      <c r="AE81" s="191"/>
    </row>
    <row r="82" spans="16:36" ht="14.25" hidden="1">
      <c r="P82" s="183"/>
      <c r="Q82" s="183"/>
      <c r="R82" s="183"/>
      <c r="S82" s="183"/>
      <c r="T82" s="183"/>
      <c r="U82" s="183"/>
      <c r="V82" s="183"/>
      <c r="W82" s="183"/>
      <c r="X82" s="183"/>
      <c r="Y82" s="183"/>
      <c r="AA82" s="184"/>
      <c r="AB82" s="183"/>
    </row>
    <row r="83" spans="16:36" ht="14.25" hidden="1">
      <c r="P83" s="183"/>
      <c r="Q83" s="183"/>
      <c r="R83" s="183"/>
      <c r="S83" s="183"/>
      <c r="T83" s="183"/>
      <c r="U83" s="183"/>
      <c r="V83" s="183"/>
      <c r="W83" s="183"/>
      <c r="X83" s="183"/>
      <c r="Y83" s="183"/>
    </row>
    <row r="84" spans="16:36" ht="14.25" hidden="1">
      <c r="P84" s="183"/>
      <c r="Q84" s="183"/>
      <c r="R84" s="183"/>
      <c r="S84" s="183"/>
      <c r="T84" s="183"/>
      <c r="U84" s="183"/>
      <c r="V84" s="183"/>
      <c r="W84" s="183"/>
      <c r="X84" s="183"/>
      <c r="Y84" s="183"/>
      <c r="AJ84" s="193"/>
    </row>
    <row r="85" spans="16:36" ht="14.25" hidden="1">
      <c r="P85" s="183"/>
      <c r="Q85" s="183"/>
      <c r="R85" s="183"/>
      <c r="S85" s="183"/>
      <c r="T85" s="183"/>
      <c r="U85" s="183"/>
      <c r="V85" s="183"/>
      <c r="W85" s="183"/>
      <c r="X85" s="183"/>
      <c r="Y85" s="183"/>
    </row>
    <row r="86" spans="16:36" ht="14.25" hidden="1">
      <c r="P86" s="183"/>
      <c r="Q86" s="183"/>
      <c r="R86" s="183"/>
      <c r="S86" s="183"/>
      <c r="T86" s="183"/>
      <c r="U86" s="183"/>
      <c r="V86" s="183"/>
      <c r="W86" s="183"/>
      <c r="X86" s="183"/>
      <c r="Y86" s="183"/>
      <c r="AE86" s="116"/>
    </row>
    <row r="87" spans="16:36" ht="14.25" hidden="1">
      <c r="P87" s="183"/>
      <c r="Q87" s="183"/>
      <c r="R87" s="183"/>
      <c r="S87" s="183"/>
      <c r="T87" s="183"/>
      <c r="U87" s="183"/>
      <c r="V87" s="183"/>
      <c r="W87" s="183"/>
      <c r="X87" s="183"/>
      <c r="Y87" s="183"/>
      <c r="AE87" s="187"/>
      <c r="AH87" s="194"/>
      <c r="AI87" s="195"/>
      <c r="AJ87" s="195"/>
    </row>
    <row r="88" spans="16:36" ht="14.25" hidden="1">
      <c r="P88" s="183"/>
      <c r="Q88" s="183"/>
      <c r="R88" s="183"/>
      <c r="S88" s="183"/>
      <c r="T88" s="183"/>
      <c r="U88" s="183"/>
      <c r="V88" s="183"/>
      <c r="W88" s="183"/>
      <c r="X88" s="183"/>
      <c r="Y88" s="183"/>
      <c r="AF88" s="196"/>
      <c r="AH88" s="194"/>
      <c r="AI88" s="195"/>
      <c r="AJ88" s="195"/>
    </row>
    <row r="89" spans="16:36" ht="14.25" hidden="1">
      <c r="P89" s="183"/>
      <c r="Q89" s="183"/>
      <c r="R89" s="183"/>
      <c r="S89" s="183"/>
      <c r="T89" s="183"/>
      <c r="U89" s="183"/>
      <c r="V89" s="183"/>
      <c r="W89" s="183"/>
      <c r="X89" s="183"/>
      <c r="Y89" s="183"/>
      <c r="AF89" s="196"/>
      <c r="AH89" s="194"/>
      <c r="AI89" s="195"/>
      <c r="AJ89" s="195"/>
    </row>
    <row r="90" spans="16:36" ht="14.25" hidden="1">
      <c r="P90" s="183"/>
      <c r="Q90" s="183"/>
      <c r="R90" s="183"/>
      <c r="S90" s="183"/>
      <c r="T90" s="183"/>
      <c r="U90" s="183"/>
      <c r="V90" s="183"/>
      <c r="W90" s="183"/>
      <c r="X90" s="183"/>
      <c r="Y90" s="183"/>
      <c r="AE90" s="187"/>
      <c r="AF90" s="196"/>
      <c r="AH90" s="194"/>
      <c r="AI90" s="195"/>
      <c r="AJ90" s="195"/>
    </row>
    <row r="91" spans="16:36" ht="14.25" hidden="1">
      <c r="P91" s="183"/>
      <c r="Q91" s="183"/>
      <c r="R91" s="183"/>
      <c r="S91" s="183"/>
      <c r="T91" s="183"/>
      <c r="U91" s="183"/>
      <c r="V91" s="183"/>
      <c r="W91" s="183"/>
      <c r="X91" s="183"/>
      <c r="Y91" s="183"/>
      <c r="AA91" s="196"/>
      <c r="AB91" s="196"/>
      <c r="AC91" s="196"/>
      <c r="AD91" s="196"/>
      <c r="AE91" s="196"/>
      <c r="AF91" s="196"/>
      <c r="AH91" s="194"/>
      <c r="AI91" s="195"/>
      <c r="AJ91" s="195"/>
    </row>
    <row r="92" spans="16:36" ht="14.25" hidden="1">
      <c r="P92" s="183"/>
      <c r="Q92" s="183"/>
      <c r="R92" s="183"/>
      <c r="S92" s="183"/>
      <c r="T92" s="183"/>
      <c r="U92" s="183"/>
      <c r="V92" s="183"/>
      <c r="W92" s="183"/>
      <c r="X92" s="183"/>
      <c r="Y92" s="183"/>
      <c r="AE92" s="196"/>
      <c r="AF92" s="196"/>
      <c r="AG92" s="197"/>
      <c r="AH92" s="194"/>
      <c r="AI92" s="195"/>
      <c r="AJ92" s="195"/>
    </row>
    <row r="93" spans="16:36" ht="14.25" hidden="1">
      <c r="P93" s="183"/>
      <c r="Q93" s="183"/>
      <c r="R93" s="183"/>
      <c r="S93" s="183"/>
      <c r="T93" s="183"/>
      <c r="U93" s="183"/>
      <c r="V93" s="183"/>
      <c r="W93" s="183"/>
      <c r="X93" s="183"/>
      <c r="Y93" s="183"/>
      <c r="AA93" s="198"/>
      <c r="AB93" s="196"/>
      <c r="AC93" s="196"/>
      <c r="AD93" s="196"/>
      <c r="AE93" s="196"/>
      <c r="AF93" s="196"/>
      <c r="AG93" s="197"/>
      <c r="AH93" s="194"/>
      <c r="AI93" s="195"/>
      <c r="AJ93" s="195"/>
    </row>
    <row r="94" spans="16:36" ht="14.25" hidden="1">
      <c r="P94" s="183"/>
      <c r="Q94" s="183"/>
      <c r="R94" s="183"/>
      <c r="S94" s="183"/>
      <c r="T94" s="183"/>
      <c r="U94" s="183"/>
      <c r="V94" s="183"/>
      <c r="W94" s="183"/>
      <c r="X94" s="183"/>
      <c r="Y94" s="183"/>
      <c r="AA94" s="198"/>
      <c r="AB94" s="196"/>
      <c r="AC94" s="196"/>
      <c r="AD94" s="196"/>
      <c r="AE94" s="196"/>
      <c r="AF94" s="196"/>
      <c r="AG94" s="197"/>
      <c r="AH94" s="194"/>
      <c r="AI94" s="195"/>
      <c r="AJ94" s="195"/>
    </row>
    <row r="95" spans="16:36" ht="14.25" hidden="1">
      <c r="P95" s="183"/>
      <c r="Q95" s="183"/>
      <c r="R95" s="183"/>
      <c r="S95" s="183"/>
      <c r="T95" s="183"/>
      <c r="U95" s="183"/>
      <c r="V95" s="183"/>
      <c r="W95" s="183"/>
      <c r="X95" s="183"/>
      <c r="Y95" s="183"/>
      <c r="AA95" s="185"/>
      <c r="AB95" s="196"/>
      <c r="AC95" s="196"/>
      <c r="AD95" s="199"/>
      <c r="AE95" s="183"/>
      <c r="AF95" s="199"/>
      <c r="AG95" s="197"/>
      <c r="AH95" s="194"/>
      <c r="AI95" s="195"/>
      <c r="AJ95" s="195"/>
    </row>
    <row r="96" spans="16:36" ht="14.25" hidden="1">
      <c r="P96" s="183"/>
      <c r="Q96" s="183"/>
      <c r="R96" s="183"/>
      <c r="S96" s="183"/>
      <c r="T96" s="183"/>
      <c r="U96" s="183"/>
      <c r="V96" s="183"/>
      <c r="W96" s="183"/>
      <c r="X96" s="183"/>
      <c r="Y96" s="183"/>
      <c r="AA96" s="183"/>
      <c r="AC96" s="196"/>
      <c r="AD96" s="200"/>
      <c r="AE96" s="183"/>
      <c r="AF96" s="200"/>
      <c r="AG96" s="197"/>
      <c r="AH96" s="194"/>
      <c r="AI96" s="195"/>
      <c r="AJ96" s="195"/>
    </row>
    <row r="97" spans="14:36" ht="14.25" hidden="1">
      <c r="P97" s="183"/>
      <c r="Q97" s="183"/>
      <c r="R97" s="183"/>
      <c r="S97" s="183"/>
      <c r="T97" s="183"/>
      <c r="U97" s="183"/>
      <c r="V97" s="183"/>
      <c r="W97" s="183"/>
      <c r="X97" s="183"/>
      <c r="Y97" s="183"/>
      <c r="AA97" s="183"/>
      <c r="AB97" s="196"/>
      <c r="AC97" s="196"/>
      <c r="AD97" s="199"/>
      <c r="AE97" s="183"/>
      <c r="AF97" s="199"/>
      <c r="AG97" s="197"/>
      <c r="AH97" s="194"/>
      <c r="AI97" s="195"/>
      <c r="AJ97" s="195"/>
    </row>
    <row r="98" spans="14:36" ht="14.25" hidden="1">
      <c r="P98" s="183"/>
      <c r="Q98" s="183"/>
      <c r="R98" s="183"/>
      <c r="S98" s="183"/>
      <c r="T98" s="183"/>
      <c r="U98" s="183"/>
      <c r="V98" s="183"/>
      <c r="W98" s="183"/>
      <c r="X98" s="183"/>
      <c r="Y98" s="183"/>
      <c r="AA98" s="183"/>
      <c r="AB98" s="196"/>
      <c r="AC98" s="196"/>
      <c r="AD98" s="200"/>
      <c r="AE98" s="199"/>
      <c r="AF98" s="200"/>
      <c r="AG98" s="197"/>
      <c r="AH98" s="194"/>
      <c r="AI98" s="195"/>
      <c r="AJ98" s="195"/>
    </row>
    <row r="99" spans="14:36" ht="14.25" hidden="1">
      <c r="P99" s="183"/>
      <c r="Q99" s="183"/>
      <c r="R99" s="183"/>
      <c r="S99" s="183"/>
      <c r="T99" s="183"/>
      <c r="U99" s="183"/>
      <c r="V99" s="183"/>
      <c r="W99" s="183"/>
      <c r="X99" s="183"/>
      <c r="Y99" s="183"/>
      <c r="AA99" s="183"/>
      <c r="AB99" s="196"/>
      <c r="AC99" s="196"/>
      <c r="AD99" s="199"/>
      <c r="AE99" s="199"/>
      <c r="AF99" s="199"/>
      <c r="AG99" s="197"/>
      <c r="AH99" s="194"/>
      <c r="AI99" s="195"/>
      <c r="AJ99" s="195"/>
    </row>
    <row r="100" spans="14:36" ht="14.25" hidden="1">
      <c r="P100" s="183"/>
      <c r="Q100" s="183"/>
      <c r="R100" s="183"/>
      <c r="S100" s="183"/>
      <c r="T100" s="183"/>
      <c r="U100" s="183"/>
      <c r="V100" s="183"/>
      <c r="W100" s="183"/>
      <c r="X100" s="183"/>
      <c r="Y100" s="183"/>
      <c r="AA100" s="196"/>
      <c r="AB100" s="196"/>
      <c r="AC100" s="196"/>
      <c r="AD100" s="196"/>
      <c r="AE100" s="196"/>
      <c r="AF100" s="196"/>
      <c r="AG100" s="197"/>
      <c r="AH100" s="197"/>
      <c r="AI100" s="197"/>
      <c r="AJ100" s="181"/>
    </row>
    <row r="101" spans="14:36" ht="14.25" hidden="1">
      <c r="P101" s="183"/>
      <c r="Q101" s="183"/>
      <c r="R101" s="183"/>
      <c r="S101" s="183"/>
      <c r="T101" s="183"/>
      <c r="U101" s="183"/>
      <c r="V101" s="183"/>
      <c r="W101" s="183"/>
      <c r="X101" s="183"/>
      <c r="Y101" s="183"/>
      <c r="AA101" s="196"/>
      <c r="AB101" s="183"/>
      <c r="AC101" s="183"/>
      <c r="AD101" s="177"/>
      <c r="AE101" s="177"/>
      <c r="AF101" s="177"/>
      <c r="AG101" s="197"/>
      <c r="AH101" s="197"/>
      <c r="AI101" s="197"/>
      <c r="AJ101" s="181"/>
    </row>
    <row r="102" spans="14:36" ht="14.25" hidden="1">
      <c r="P102" s="183"/>
      <c r="Q102" s="183"/>
      <c r="R102" s="183"/>
      <c r="S102" s="183"/>
      <c r="T102" s="183"/>
      <c r="U102" s="183"/>
      <c r="V102" s="183"/>
      <c r="W102" s="183"/>
      <c r="X102" s="183"/>
      <c r="Y102" s="183"/>
      <c r="AA102" s="196"/>
      <c r="AB102" s="196"/>
      <c r="AC102" s="196"/>
      <c r="AD102" s="196"/>
      <c r="AE102" s="196"/>
      <c r="AF102" s="196"/>
      <c r="AG102" s="197"/>
      <c r="AH102" s="197"/>
      <c r="AI102" s="197"/>
      <c r="AJ102" s="181"/>
    </row>
    <row r="103" spans="14:36" ht="14.25" hidden="1">
      <c r="P103" s="183"/>
      <c r="Q103" s="183"/>
      <c r="R103" s="183"/>
      <c r="S103" s="183"/>
      <c r="T103" s="183"/>
      <c r="U103" s="183"/>
      <c r="V103" s="183"/>
      <c r="W103" s="183"/>
      <c r="X103" s="183"/>
      <c r="Y103" s="183"/>
      <c r="AA103" s="196"/>
      <c r="AB103" s="196"/>
      <c r="AC103" s="196"/>
      <c r="AD103" s="196"/>
      <c r="AE103" s="196"/>
      <c r="AF103" s="196"/>
      <c r="AG103" s="197"/>
      <c r="AH103" s="197"/>
      <c r="AI103" s="197"/>
      <c r="AJ103" s="181"/>
    </row>
    <row r="104" spans="14:36" ht="14.25" hidden="1">
      <c r="P104" s="183"/>
      <c r="Q104" s="183"/>
      <c r="R104" s="183"/>
      <c r="S104" s="183"/>
      <c r="T104" s="183"/>
      <c r="U104" s="183"/>
      <c r="V104" s="183"/>
      <c r="W104" s="183"/>
      <c r="X104" s="183"/>
      <c r="Y104" s="183"/>
      <c r="AC104" s="196"/>
      <c r="AD104" s="196"/>
      <c r="AE104" s="196"/>
      <c r="AF104" s="196"/>
      <c r="AG104" s="197"/>
      <c r="AH104" s="197"/>
      <c r="AI104" s="197"/>
      <c r="AJ104" s="181"/>
    </row>
    <row r="105" spans="14:36" ht="14.25" hidden="1">
      <c r="P105" s="183"/>
      <c r="Q105" s="183"/>
      <c r="R105" s="183"/>
      <c r="S105" s="183"/>
      <c r="T105" s="183"/>
      <c r="U105" s="183"/>
      <c r="V105" s="183"/>
      <c r="W105" s="183"/>
      <c r="X105" s="183"/>
      <c r="Y105" s="183"/>
      <c r="AA105" s="196"/>
      <c r="AB105" s="196"/>
      <c r="AC105" s="196"/>
      <c r="AD105" s="196"/>
      <c r="AE105" s="196"/>
      <c r="AF105" s="196"/>
      <c r="AG105" s="197"/>
      <c r="AH105" s="197"/>
      <c r="AI105" s="197"/>
      <c r="AJ105" s="181"/>
    </row>
    <row r="106" spans="14:36" ht="14.25" hidden="1">
      <c r="N106" s="184"/>
      <c r="O106" s="183"/>
      <c r="P106" s="183"/>
      <c r="Q106" s="183"/>
      <c r="R106" s="183"/>
      <c r="S106" s="183"/>
      <c r="T106" s="183"/>
      <c r="U106" s="183"/>
      <c r="V106" s="183"/>
      <c r="W106" s="183"/>
      <c r="X106" s="183"/>
      <c r="Y106" s="183"/>
      <c r="AA106" s="196"/>
      <c r="AB106" s="196"/>
      <c r="AC106" s="196"/>
      <c r="AD106" s="196"/>
      <c r="AE106" s="196"/>
      <c r="AF106" s="196"/>
      <c r="AG106" s="197"/>
      <c r="AH106" s="197"/>
      <c r="AI106" s="197"/>
      <c r="AJ106" s="181"/>
    </row>
    <row r="107" spans="14:36" ht="14.25" hidden="1">
      <c r="N107" s="183"/>
      <c r="O107" s="183"/>
      <c r="P107" s="183"/>
      <c r="Q107" s="183"/>
      <c r="R107" s="183"/>
      <c r="S107" s="183"/>
      <c r="T107" s="183"/>
      <c r="U107" s="183"/>
      <c r="V107" s="183"/>
      <c r="W107" s="183"/>
      <c r="X107" s="183"/>
      <c r="Y107" s="183"/>
      <c r="Z107" s="183"/>
      <c r="AA107" s="183"/>
      <c r="AB107" s="183"/>
      <c r="AC107" s="183"/>
      <c r="AD107" s="183"/>
      <c r="AE107" s="183"/>
    </row>
    <row r="108" spans="14:36" ht="14.25" hidden="1">
      <c r="N108" s="184"/>
      <c r="O108" s="183"/>
      <c r="P108" s="183"/>
      <c r="Q108" s="183"/>
      <c r="R108" s="183"/>
      <c r="S108" s="183"/>
      <c r="T108" s="183"/>
      <c r="U108" s="183"/>
      <c r="V108" s="183"/>
      <c r="W108" s="183"/>
      <c r="X108" s="183"/>
      <c r="Y108" s="183"/>
      <c r="Z108" s="183"/>
      <c r="AA108" s="183"/>
      <c r="AB108" s="183"/>
      <c r="AC108" s="183"/>
      <c r="AD108" s="183"/>
      <c r="AE108" s="183"/>
    </row>
    <row r="109" spans="14:36" ht="14.25" hidden="1">
      <c r="N109" s="184"/>
      <c r="O109" s="183"/>
      <c r="P109" s="183"/>
      <c r="Q109" s="183"/>
      <c r="R109" s="183"/>
      <c r="S109" s="183"/>
      <c r="T109" s="183"/>
      <c r="U109" s="183"/>
      <c r="V109" s="183"/>
      <c r="W109" s="183"/>
      <c r="X109" s="183"/>
      <c r="Y109" s="183"/>
    </row>
    <row r="110" spans="14:36" ht="14.25" hidden="1">
      <c r="N110" s="184"/>
      <c r="O110" s="183"/>
      <c r="P110" s="183"/>
      <c r="Q110" s="183"/>
      <c r="R110" s="183"/>
      <c r="S110" s="183"/>
      <c r="T110" s="183"/>
      <c r="U110" s="183"/>
      <c r="V110" s="183"/>
      <c r="W110" s="183"/>
      <c r="X110" s="183"/>
      <c r="Y110" s="183"/>
    </row>
    <row r="111" spans="14:36" ht="14.25" hidden="1">
      <c r="N111" s="183"/>
      <c r="O111" s="183"/>
      <c r="P111" s="183"/>
      <c r="Q111" s="183"/>
      <c r="R111" s="183"/>
      <c r="S111" s="183"/>
      <c r="T111" s="183"/>
      <c r="U111" s="183"/>
      <c r="V111" s="183"/>
      <c r="W111" s="183"/>
      <c r="X111" s="183"/>
      <c r="Y111" s="183"/>
    </row>
    <row r="112" spans="14:36" ht="14.25" hidden="1">
      <c r="N112" s="184"/>
      <c r="O112" s="183"/>
      <c r="P112" s="183"/>
      <c r="Q112" s="183"/>
      <c r="R112" s="183"/>
      <c r="S112" s="183"/>
      <c r="T112" s="183"/>
      <c r="U112" s="183"/>
      <c r="V112" s="183"/>
      <c r="W112" s="183"/>
      <c r="X112" s="183"/>
      <c r="Y112" s="183"/>
    </row>
    <row r="113" spans="14:25" ht="14.25" hidden="1">
      <c r="N113" s="183"/>
      <c r="O113" s="183"/>
      <c r="P113" s="183"/>
      <c r="Q113" s="183"/>
      <c r="R113" s="183"/>
      <c r="S113" s="183"/>
      <c r="T113" s="183"/>
      <c r="U113" s="183"/>
      <c r="V113" s="183"/>
      <c r="W113" s="183"/>
      <c r="X113" s="183"/>
      <c r="Y113" s="183"/>
    </row>
    <row r="114" spans="14:25" ht="14.25" hidden="1">
      <c r="N114" s="184"/>
      <c r="O114" s="183"/>
      <c r="P114" s="183"/>
      <c r="Q114" s="183"/>
      <c r="R114" s="183"/>
      <c r="S114" s="183"/>
      <c r="T114" s="183"/>
      <c r="U114" s="183"/>
      <c r="V114" s="183"/>
      <c r="W114" s="183"/>
      <c r="X114" s="183"/>
      <c r="Y114" s="183"/>
    </row>
    <row r="115" spans="14:25" ht="14.25" hidden="1">
      <c r="O115" s="183"/>
    </row>
  </sheetData>
  <dataValidations count="1">
    <dataValidation type="custom" showInputMessage="1" showErrorMessage="1" errorTitle="Data protection:" error="The data present in this sheet are protected in order to prevent unintentional changes in the source data which may corrupt the calculations." sqref="A1:AL70" xr:uid="{00000000-0002-0000-0900-000000000000}">
      <formula1>0</formula1>
    </dataValidation>
  </dataValidations>
  <pageMargins left="0.35433070866141736" right="0.35433070866141736" top="0.19685039370078741" bottom="0.19685039370078741" header="0.51181102362204722" footer="0.51181102362204722"/>
  <pageSetup paperSize="9" scale="60" fitToWidth="2"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2039ADD5E94A4BB0B15B5FB7ADAC87" ma:contentTypeVersion="6" ma:contentTypeDescription="Create a new document." ma:contentTypeScope="" ma:versionID="01b5e44866dc18d9b3fd6fcd47944d7a">
  <xsd:schema xmlns:xsd="http://www.w3.org/2001/XMLSchema" xmlns:xs="http://www.w3.org/2001/XMLSchema" xmlns:p="http://schemas.microsoft.com/office/2006/metadata/properties" xmlns:ns2="38e5a78e-e4a4-43bc-8811-d13ed7ad4f63" targetNamespace="http://schemas.microsoft.com/office/2006/metadata/properties" ma:root="true" ma:fieldsID="37d27698a04567d5c54218fea1b8dd69" ns2:_="">
    <xsd:import namespace="38e5a78e-e4a4-43bc-8811-d13ed7ad4f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e5a78e-e4a4-43bc-8811-d13ed7ad4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794A20-C6FB-4F53-AA26-9556C0084C75}"/>
</file>

<file path=customXml/itemProps2.xml><?xml version="1.0" encoding="utf-8"?>
<ds:datastoreItem xmlns:ds="http://schemas.openxmlformats.org/officeDocument/2006/customXml" ds:itemID="{DE90B483-E7CF-4100-9A12-8806E487D61C}"/>
</file>

<file path=customXml/itemProps3.xml><?xml version="1.0" encoding="utf-8"?>
<ds:datastoreItem xmlns:ds="http://schemas.openxmlformats.org/officeDocument/2006/customXml" ds:itemID="{60AB7231-44E2-48F5-983A-9B2BF898A824}"/>
</file>

<file path=docProps/app.xml><?xml version="1.0" encoding="utf-8"?>
<Properties xmlns="http://schemas.openxmlformats.org/officeDocument/2006/extended-properties" xmlns:vt="http://schemas.openxmlformats.org/officeDocument/2006/docPropsVTypes">
  <Application>Microsoft Excel Online</Application>
  <Manager/>
  <Company>World Class Maintenance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Costs analysis maintenance scenarios</dc:title>
  <dc:subject/>
  <dc:creator>Casper Wassink</dc:creator>
  <cp:keywords>Revisie dd 15Okt19</cp:keywords>
  <dc:description>Migrated from Dutch towards English in week 6 of 2022 as part of the program supported by the Dutch RVO.</dc:description>
  <cp:lastModifiedBy>Rob de Heus</cp:lastModifiedBy>
  <cp:revision/>
  <dcterms:created xsi:type="dcterms:W3CDTF">2019-05-13T09:06:17Z</dcterms:created>
  <dcterms:modified xsi:type="dcterms:W3CDTF">2022-09-30T12:30:57Z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0x0101001F2039ADD5E94A4BB0B15B5FB7ADAC87</vt:lpwstr>
  </property>
</Properties>
</file>