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drawings/drawing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worksheets/sheet7.xml" ContentType="application/vnd.openxmlformats-officedocument.spreadsheetml.worksheet+xml"/>
  <Override PartName="/xl/worksheets/sheet6.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worksheets/sheet9.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comments5.xml" ContentType="application/vnd.openxmlformats-officedocument.spreadsheetml.comments+xml"/>
  <Override PartName="/xl/comments1.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xl/comments3.xml" ContentType="application/vnd.openxmlformats-officedocument.spreadsheetml.comments+xml"/>
  <Override PartName="/xl/comments4.xml" ContentType="application/vnd.openxmlformats-officedocument.spreadsheetml.comments+xml"/>
  <Override PartName="/xl/comments2.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STORK_PC\Geerthenk.wijnants\Stork\Projecten\WCM_CUI\RB_CUI_Management\Oplevering24Nov19\Updates\"/>
    </mc:Choice>
  </mc:AlternateContent>
  <bookViews>
    <workbookView xWindow="0" yWindow="0" windowWidth="19200" windowHeight="8310" tabRatio="828"/>
  </bookViews>
  <sheets>
    <sheet name="Toelichting" sheetId="2" r:id="rId1"/>
    <sheet name="Installatie" sheetId="1" r:id="rId2"/>
    <sheet name="NEN-EN 16991" sheetId="4" r:id="rId3"/>
    <sheet name="Faalkans" sheetId="5" r:id="rId4"/>
    <sheet name="CorrosieModel" sheetId="10" r:id="rId5"/>
    <sheet name="Isol.Cond.Class." sheetId="3" r:id="rId6"/>
    <sheet name="Coating bescherming" sheetId="7" r:id="rId7"/>
    <sheet name="NDT Effectiviteit" sheetId="13" r:id="rId8"/>
    <sheet name="Succescriteria" sheetId="8" r:id="rId9"/>
  </sheets>
  <definedNames>
    <definedName name="CoatGen">'Coating bescherming'!$D$12:$E$12</definedName>
    <definedName name="CoatGenScore">'Coating bescherming'!$H$12:$I$12</definedName>
    <definedName name="CoatIsol">'Coating bescherming'!$D$15:$G$15</definedName>
    <definedName name="CoatIsolScor">'Coating bescherming'!$H$15:$K$15</definedName>
    <definedName name="CoatLifetime" comment="De verwachte levensduur van de coating, op basis van de diverse invloedsfactoren. Zie uitwerking op tab [Coating bescherming]">Installatie!$C$25</definedName>
    <definedName name="CoatOntw">'Coating bescherming'!$D$13:$F$13</definedName>
    <definedName name="CoatOntwScor">'Coating bescherming'!$H$13:$J$13</definedName>
    <definedName name="CoatProc">'Coating bescherming'!$D$14:$G$14</definedName>
    <definedName name="CoatProcScor">'Coating bescherming'!$H$14:$K$14</definedName>
    <definedName name="CoatProd">'Coating bescherming'!$D$11:$F$11</definedName>
    <definedName name="CoatProdScor">'Coating bescherming'!$H$11:$J$11</definedName>
    <definedName name="CoatRefLT">'Coating bescherming'!$B$18</definedName>
    <definedName name="CorrMarge" comment="De corrosie marge die (geacht wordt) representatief (te zijn) is voor de betreffende installatie.">Installatie!$C$8</definedName>
    <definedName name="CorrSnelh" comment="De corrosie snelheid zoals van toepassing met de beschikbare gegevens.">CorrosieModel!$E$44</definedName>
    <definedName name="CorrTempBounds">CorrosieModel!$D$47:$J$47</definedName>
    <definedName name="DroogNatWissel">CorrosieModel!$C$48:$C$50</definedName>
    <definedName name="FaalGevolgCat" comment="De categorie voor de gevolgen van falen, zoals van toepassing in de specifieke casus.">Installatie!$D$41</definedName>
    <definedName name="FaalkansKlassen">'NDT Effectiviteit'!$H$44:$M$44</definedName>
    <definedName name="IsolatieMateriaal">CorrosieModel!$B$72:$B$78</definedName>
    <definedName name="KleurJN">CorrosieModel!$A$47</definedName>
    <definedName name="Leeftijd">Faalkans!$C$4</definedName>
    <definedName name="LimitsMOTBF">'NEN-EN 16991'!$AB$2:$AF$2</definedName>
    <definedName name="Materialen">Faalkans!$B$17:$B$21</definedName>
    <definedName name="NatDroogRiskMatrix">CorrosieModel!$D$48:$J$50</definedName>
    <definedName name="NDT_Kosten">'NDT Effectiviteit'!$O$2:$O$12</definedName>
    <definedName name="NDT_Techn">'NDT Effectiviteit'!$P$2:$P$12</definedName>
    <definedName name="NDTEff">'NDT Effectiviteit'!$D$45:$F$49</definedName>
    <definedName name="NDTEffRatings" comment="De effectiviteit van de betreffend NDT techniek, zoals toegekend middels de effectiviteits classificatie.">'NDT Effectiviteit'!$C$14:$M$19</definedName>
    <definedName name="_xlnm.Print_Area" localSheetId="0">Toelichting!$C$4:$F$42</definedName>
    <definedName name="ProcessTemp">Installatie!$C$13</definedName>
    <definedName name="ResFaalkans">'NDT Effectiviteit'!$H$45:$M$49</definedName>
    <definedName name="Risk_MOTBF">'NEN-EN 16991'!$AB$3:$AF$7</definedName>
    <definedName name="SkinTemp">Faalkans!$C$3</definedName>
    <definedName name="TSA_LTE">'Coating bescherming'!$B$19</definedName>
    <definedName name="Typicals">'NDT Effectiviteit'!$B$14:$B$19</definedName>
    <definedName name="ZoutRisico">CorrosieModel!$B$53:$B$55</definedName>
    <definedName name="ZoutRiskMatrix">CorrosieModel!$D$53:$J$55</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9" i="7" l="1"/>
  <c r="E56" i="1"/>
  <c r="C47" i="1"/>
  <c r="G58" i="1"/>
  <c r="C25" i="1"/>
  <c r="G19" i="5"/>
  <c r="C17" i="1"/>
  <c r="C41" i="10"/>
  <c r="C2" i="5"/>
  <c r="J2" i="5"/>
  <c r="I15" i="7"/>
  <c r="C17" i="7"/>
  <c r="C18" i="7"/>
  <c r="B16" i="7"/>
  <c r="D41" i="1"/>
  <c r="P2" i="13"/>
  <c r="P7" i="13"/>
  <c r="P8" i="13"/>
  <c r="P9" i="13"/>
  <c r="P10" i="13"/>
  <c r="P11" i="13"/>
  <c r="P3" i="13"/>
  <c r="P4" i="13"/>
  <c r="P5" i="13"/>
  <c r="P6" i="13"/>
  <c r="P12" i="13"/>
  <c r="C48" i="1"/>
  <c r="C60" i="1"/>
  <c r="C39" i="13"/>
  <c r="C44" i="10"/>
  <c r="D44" i="10"/>
  <c r="C43" i="10"/>
  <c r="C42" i="10"/>
  <c r="N40" i="13"/>
  <c r="AF7" i="4"/>
  <c r="AE7" i="4"/>
  <c r="AD7" i="4"/>
  <c r="AC7" i="4"/>
  <c r="AB7" i="4"/>
  <c r="AF6" i="4"/>
  <c r="AE6" i="4"/>
  <c r="AD6" i="4"/>
  <c r="AC6" i="4"/>
  <c r="AB6" i="4"/>
  <c r="C29" i="1"/>
  <c r="C6" i="5"/>
  <c r="C31" i="1"/>
  <c r="C7" i="5"/>
  <c r="A19" i="5"/>
  <c r="A21" i="5"/>
  <c r="A18" i="5"/>
  <c r="A17" i="5"/>
  <c r="C4" i="5"/>
  <c r="P2" i="4"/>
  <c r="V2" i="4"/>
  <c r="AB2" i="4"/>
  <c r="AF5" i="4"/>
  <c r="AF4" i="4"/>
  <c r="AF3" i="4"/>
  <c r="AE5" i="4"/>
  <c r="AE4" i="4"/>
  <c r="AE3" i="4"/>
  <c r="AB5" i="4"/>
  <c r="AB4" i="4"/>
  <c r="AB3" i="4"/>
  <c r="AD5" i="4"/>
  <c r="AD4" i="4"/>
  <c r="AD3" i="4"/>
  <c r="AC5" i="4"/>
  <c r="AC4" i="4"/>
  <c r="AC3" i="4"/>
  <c r="Z7" i="4"/>
  <c r="Z6" i="4"/>
  <c r="Z5" i="4"/>
  <c r="Z4" i="4"/>
  <c r="Z3" i="4"/>
  <c r="Y7" i="4"/>
  <c r="Y6" i="4"/>
  <c r="Y5" i="4"/>
  <c r="Y4" i="4"/>
  <c r="Y3" i="4"/>
  <c r="X7" i="4"/>
  <c r="X6" i="4"/>
  <c r="X5" i="4"/>
  <c r="X4" i="4"/>
  <c r="X3" i="4"/>
  <c r="W7" i="4"/>
  <c r="W6" i="4"/>
  <c r="W5" i="4"/>
  <c r="W4" i="4"/>
  <c r="W3" i="4"/>
  <c r="V6" i="4"/>
  <c r="V7" i="4"/>
  <c r="V5" i="4"/>
  <c r="V4" i="4"/>
  <c r="V3" i="4"/>
  <c r="P3" i="4"/>
  <c r="T7" i="4"/>
  <c r="T6" i="4"/>
  <c r="T5" i="4"/>
  <c r="T4" i="4"/>
  <c r="T3" i="4"/>
  <c r="S7" i="4"/>
  <c r="S6" i="4"/>
  <c r="S5" i="4"/>
  <c r="S4" i="4"/>
  <c r="S3" i="4"/>
  <c r="R7" i="4"/>
  <c r="R6" i="4"/>
  <c r="R5" i="4"/>
  <c r="R4" i="4"/>
  <c r="R3" i="4"/>
  <c r="Q7" i="4"/>
  <c r="Q6" i="4"/>
  <c r="Q5" i="4"/>
  <c r="Q4" i="4"/>
  <c r="Q3" i="4"/>
  <c r="P7" i="4"/>
  <c r="P6" i="4"/>
  <c r="P5" i="4"/>
  <c r="P4" i="4"/>
  <c r="E5" i="4"/>
  <c r="E6" i="4"/>
  <c r="E7" i="4"/>
  <c r="C9" i="5"/>
  <c r="C5" i="5"/>
  <c r="G18" i="5"/>
  <c r="G21" i="5"/>
  <c r="E45" i="10"/>
  <c r="D41" i="10"/>
  <c r="C3" i="5"/>
  <c r="D43" i="10"/>
  <c r="D42" i="10"/>
  <c r="E44" i="10"/>
  <c r="F19" i="5"/>
  <c r="F17" i="5"/>
  <c r="F18" i="5"/>
  <c r="J8" i="5"/>
  <c r="C8" i="5"/>
  <c r="C10" i="5"/>
  <c r="C11" i="5"/>
  <c r="C12" i="5"/>
  <c r="C34" i="1"/>
  <c r="C58" i="1"/>
  <c r="C13" i="5"/>
  <c r="C51" i="1"/>
  <c r="G57" i="1"/>
  <c r="D58" i="1"/>
  <c r="B43" i="1"/>
  <c r="C42" i="1"/>
  <c r="C43" i="1"/>
  <c r="C57" i="1"/>
  <c r="C59" i="1"/>
  <c r="C49" i="1"/>
  <c r="C50" i="1"/>
  <c r="D59" i="1"/>
  <c r="D60" i="1"/>
  <c r="D57" i="1"/>
</calcChain>
</file>

<file path=xl/comments1.xml><?xml version="1.0" encoding="utf-8"?>
<comments xmlns="http://schemas.openxmlformats.org/spreadsheetml/2006/main">
  <authors>
    <author>Geert Henk Wijnants</author>
  </authors>
  <commentList>
    <comment ref="B25" authorId="0" shapeId="0">
      <text>
        <r>
          <rPr>
            <b/>
            <sz val="9"/>
            <color indexed="81"/>
            <rFont val="Tahoma"/>
            <family val="2"/>
          </rPr>
          <t>Aanvullingen:</t>
        </r>
        <r>
          <rPr>
            <sz val="9"/>
            <color indexed="81"/>
            <rFont val="Tahoma"/>
            <family val="2"/>
          </rPr>
          <t xml:space="preserve">
Faalkans &amp; Vis.Insp. bij isolatie conditie.</t>
        </r>
      </text>
    </comment>
    <comment ref="D25" authorId="0" shapeId="0">
      <text>
        <r>
          <rPr>
            <b/>
            <sz val="9"/>
            <color indexed="81"/>
            <rFont val="Tahoma"/>
            <family val="2"/>
          </rPr>
          <t>Projectonderdelen:</t>
        </r>
        <r>
          <rPr>
            <sz val="9"/>
            <color indexed="81"/>
            <rFont val="Tahoma"/>
            <family val="2"/>
          </rPr>
          <t xml:space="preserve">
De kleur geeft aan welke benodigde informatie in welk projectonderdeel wordt gespecificeerd.</t>
        </r>
      </text>
    </comment>
    <comment ref="F25" authorId="0" shapeId="0">
      <text>
        <r>
          <rPr>
            <b/>
            <sz val="9"/>
            <color indexed="81"/>
            <rFont val="Tahoma"/>
            <family val="2"/>
          </rPr>
          <t>Toelichting:</t>
        </r>
        <r>
          <rPr>
            <sz val="9"/>
            <color indexed="81"/>
            <rFont val="Tahoma"/>
            <family val="2"/>
          </rPr>
          <t xml:space="preserve">
Het flowschema geeft weer op welke manieren de aanwezige conditie cq toestand in kaart kan worden gebracht. Dit teneinde de in werkelijkheid aanwezige toestand en de daarbij aanwezige faalkans zo goed mogelijk te benaderen en daar, waar dat niet goed mogelijk is, die toestand vanuit "reasonable worst case" principe weer te geven.
Er is daarbij sprake van (a) een Faalkans verwachting, zoals opgsteld kan worden op basis van beschikbare ervaringen met vergelijkbare systemen.
Er is daarbij ook sprake van (b) een Faalkans beoordeling, zoals opgesteld kan worden op basis van (met behulp van Niet Destructieve Onderzoeksmethoden) verkregen conditie gegegevens.
De Feitelijke faalkans is de faalkans zoals die van toepassing is in de operationele situatie, met aanwezige druk, temperatuur etc.
Idealiter benadert de Faalkans beoordeling de werkelijke faalkans vanaf de kant van de overwaardering, met een onzekerheidsmarge die praktisch hanteerbaar is.
</t>
        </r>
        <r>
          <rPr>
            <sz val="9"/>
            <color indexed="12"/>
            <rFont val="Tahoma"/>
            <family val="2"/>
          </rPr>
          <t>Het flowschema geeft ook weer hoe verschillende project onderdelen samen komen in het eindresultaat, de best practise voor risk based CUI management.
Door middel van de kleur is weergegeven welke informatie binnen welk projectdeel wordt aangeleverd. Daar waar sprake is van een gezamenlijke activiteit, is dat met meerdere kleuren weergegeven.</t>
        </r>
      </text>
    </comment>
  </commentList>
</comments>
</file>

<file path=xl/comments2.xml><?xml version="1.0" encoding="utf-8"?>
<comments xmlns="http://schemas.openxmlformats.org/spreadsheetml/2006/main">
  <authors>
    <author>Geert Henk Wijnants</author>
  </authors>
  <commentList>
    <comment ref="E2" authorId="0" shapeId="0">
      <text>
        <r>
          <rPr>
            <b/>
            <sz val="9"/>
            <color indexed="81"/>
            <rFont val="Tahoma"/>
            <family val="2"/>
          </rPr>
          <t>Opties:</t>
        </r>
        <r>
          <rPr>
            <sz val="9"/>
            <color indexed="81"/>
            <rFont val="Tahoma"/>
            <family val="2"/>
          </rPr>
          <t xml:space="preserve">
Deze kolommen dienen als input voor het invulveld voor kolom C.</t>
        </r>
      </text>
    </comment>
    <comment ref="C48" authorId="0" shapeId="0">
      <text>
        <r>
          <rPr>
            <b/>
            <sz val="9"/>
            <color indexed="81"/>
            <rFont val="Tahoma"/>
            <family val="2"/>
          </rPr>
          <t>Risico reductie afh. van effectiviteit beheersmaatregel:</t>
        </r>
        <r>
          <rPr>
            <sz val="9"/>
            <color indexed="81"/>
            <rFont val="Tahoma"/>
            <family val="2"/>
          </rPr>
          <t xml:space="preserve">
De mate waarmee het risico wordt gereduceerd.
Geldt voor techniek in bep. toepassing (faalmechanisme).
99% =&gt; risico * 0,01.
90% =&gt; risico * 0,1.
10%=&gt; risico * 0,9.
0%=&gt; risico onveranderd.</t>
        </r>
      </text>
    </comment>
  </commentList>
</comments>
</file>

<file path=xl/comments3.xml><?xml version="1.0" encoding="utf-8"?>
<comments xmlns="http://schemas.openxmlformats.org/spreadsheetml/2006/main">
  <authors>
    <author>Geert Henk Wijnants</author>
  </authors>
  <commentList>
    <comment ref="P3" authorId="0" shapeId="0">
      <text>
        <r>
          <rPr>
            <b/>
            <sz val="9"/>
            <color indexed="81"/>
            <rFont val="Tahoma"/>
            <family val="2"/>
          </rPr>
          <t>Geert Henk Wijnants:</t>
        </r>
        <r>
          <rPr>
            <sz val="9"/>
            <color indexed="81"/>
            <rFont val="Tahoma"/>
            <family val="2"/>
          </rPr>
          <t xml:space="preserve">
Hier een stap van 10 genomen voor de POF, nét zoals de stappen in POF van 4 naar 3 etc.</t>
        </r>
      </text>
    </comment>
    <comment ref="Z3" authorId="0" shapeId="0">
      <text>
        <r>
          <rPr>
            <b/>
            <sz val="9"/>
            <color indexed="81"/>
            <rFont val="Tahoma"/>
            <family val="2"/>
          </rPr>
          <t>Geert Henk Wijnants:</t>
        </r>
        <r>
          <rPr>
            <sz val="9"/>
            <color indexed="81"/>
            <rFont val="Tahoma"/>
            <family val="2"/>
          </rPr>
          <t xml:space="preserve">
Hier 10 keer zo grote waarde genomen, net zoals in de stappen van A-D.</t>
        </r>
      </text>
    </comment>
    <comment ref="AB7" authorId="0" shapeId="0">
      <text>
        <r>
          <rPr>
            <b/>
            <sz val="9"/>
            <color indexed="81"/>
            <rFont val="Tahoma"/>
            <family val="2"/>
          </rPr>
          <t>Berekening:</t>
        </r>
        <r>
          <rPr>
            <sz val="9"/>
            <color indexed="81"/>
            <rFont val="Tahoma"/>
            <family val="2"/>
          </rPr>
          <t xml:space="preserve">
In de noemer staat de gemiddelde stapgrootte waarmee de volgende gemiddelde kanscategorie is toegenomen tov de vorige.</t>
        </r>
      </text>
    </comment>
    <comment ref="J16" authorId="0" shapeId="0">
      <text>
        <r>
          <rPr>
            <b/>
            <sz val="9"/>
            <color indexed="81"/>
            <rFont val="Tahoma"/>
            <family val="2"/>
          </rPr>
          <t>Remark:</t>
        </r>
        <r>
          <rPr>
            <sz val="9"/>
            <color indexed="81"/>
            <rFont val="Tahoma"/>
            <family val="2"/>
          </rPr>
          <t xml:space="preserve">
This value has been added, based on the previous steps of 0,2.</t>
        </r>
      </text>
    </comment>
  </commentList>
</comments>
</file>

<file path=xl/comments4.xml><?xml version="1.0" encoding="utf-8"?>
<comments xmlns="http://schemas.openxmlformats.org/spreadsheetml/2006/main">
  <authors>
    <author>Geert Henk Wijnants</author>
  </authors>
  <commentList>
    <comment ref="B1" authorId="0" shapeId="0">
      <text>
        <r>
          <rPr>
            <b/>
            <sz val="9"/>
            <color indexed="81"/>
            <rFont val="Tahoma"/>
            <family val="2"/>
          </rPr>
          <t>Geert Henk Wijnants:</t>
        </r>
        <r>
          <rPr>
            <sz val="9"/>
            <color indexed="81"/>
            <rFont val="Tahoma"/>
            <family val="2"/>
          </rPr>
          <t xml:space="preserve">
De Model berekening, zoals uitgewerkt op het tab [CorrosieModel], is hier nog NIET verwerkt.
De factoren zoals dáár weergegeven krijgen hier allemaal een plaats.</t>
        </r>
      </text>
    </comment>
    <comment ref="J2" authorId="0" shapeId="0">
      <text>
        <r>
          <rPr>
            <b/>
            <sz val="9"/>
            <color indexed="81"/>
            <rFont val="Tahoma"/>
            <family val="2"/>
          </rPr>
          <t>Geert Henk Wijnants:</t>
        </r>
        <r>
          <rPr>
            <sz val="9"/>
            <color indexed="81"/>
            <rFont val="Tahoma"/>
            <family val="2"/>
          </rPr>
          <t xml:space="preserve">
Hier staat het nummer van de rij uit onderstaande tabel met de eigenschappen van het materiaal.</t>
        </r>
      </text>
    </comment>
    <comment ref="B16" authorId="0" shapeId="0">
      <text>
        <r>
          <rPr>
            <b/>
            <sz val="9"/>
            <color indexed="81"/>
            <rFont val="Tahoma"/>
            <family val="2"/>
          </rPr>
          <t>Toelichting:</t>
        </r>
        <r>
          <rPr>
            <sz val="9"/>
            <color indexed="81"/>
            <rFont val="Tahoma"/>
            <family val="2"/>
          </rPr>
          <t xml:space="preserve">
De gehanteerde conceptuele benadering is dat met de gegevens uit het tabblad [Installatie], voor alle mogelijke materiaalkeuzes, met behulp van formules de corrosiesnelheid, latentietijd en het bijbehorende risico uitgerekend wordt.
Per materiaalkeuze kunnen dan in deze tabel de van toepassing zijnde parameters geselecteerd worden.
Andere modellen voor materiaal en temperatuurgebieden kunnen hier aan toegevoegd worden.</t>
        </r>
      </text>
    </comment>
    <comment ref="G18" authorId="0" shapeId="0">
      <text>
        <r>
          <rPr>
            <b/>
            <sz val="9"/>
            <color indexed="81"/>
            <rFont val="Tahoma"/>
            <family val="2"/>
          </rPr>
          <t>Toelichting:</t>
        </r>
        <r>
          <rPr>
            <sz val="9"/>
            <color indexed="81"/>
            <rFont val="Tahoma"/>
            <family val="2"/>
          </rPr>
          <t xml:space="preserve">
Indien de bewijsvoering voldoende hard is dat de toegepaste TSA een grotere beschermingsduur biedt, kan die hier ingevuld worden.</t>
        </r>
      </text>
    </comment>
    <comment ref="H20" authorId="0" shapeId="0">
      <text>
        <r>
          <rPr>
            <b/>
            <sz val="9"/>
            <color indexed="81"/>
            <rFont val="Tahoma"/>
            <family val="2"/>
          </rPr>
          <t>Toelichting:</t>
        </r>
        <r>
          <rPr>
            <sz val="9"/>
            <color indexed="81"/>
            <rFont val="Tahoma"/>
            <family val="2"/>
          </rPr>
          <t xml:space="preserve">
Fictieve waarde gehanteerd ivm toegepaste formules.</t>
        </r>
      </text>
    </comment>
    <comment ref="H21" authorId="0" shapeId="0">
      <text>
        <r>
          <rPr>
            <b/>
            <sz val="9"/>
            <color indexed="81"/>
            <rFont val="Tahoma"/>
            <family val="2"/>
          </rPr>
          <t>Toelichting:</t>
        </r>
        <r>
          <rPr>
            <sz val="9"/>
            <color indexed="81"/>
            <rFont val="Tahoma"/>
            <family val="2"/>
          </rPr>
          <t xml:space="preserve">
Fictieve waarde gehanteerd ivm toegepaste formules.</t>
        </r>
      </text>
    </comment>
  </commentList>
</comments>
</file>

<file path=xl/comments5.xml><?xml version="1.0" encoding="utf-8"?>
<comments xmlns="http://schemas.openxmlformats.org/spreadsheetml/2006/main">
  <authors>
    <author>Geert Henk Wijnants</author>
  </authors>
  <commentList>
    <comment ref="B53" authorId="0" shapeId="0">
      <text>
        <r>
          <rPr>
            <b/>
            <sz val="9"/>
            <color indexed="81"/>
            <rFont val="Tahoma"/>
            <family val="2"/>
          </rPr>
          <t>Klasse C1 &amp; C2, belasting "Zeer laag" en "Laag":</t>
        </r>
        <r>
          <rPr>
            <sz val="9"/>
            <color indexed="81"/>
            <rFont val="Tahoma"/>
            <family val="2"/>
          </rPr>
          <t xml:space="preserve">
C1: Verwarmde gebouwen met schone atmosfeer, als kantoren, scholen enz.
C2: Atmosfeer met Iaag milieuvervuilingsniveau, Iandelijk gebied.</t>
        </r>
      </text>
    </comment>
    <comment ref="B54" authorId="0" shapeId="0">
      <text>
        <r>
          <rPr>
            <b/>
            <sz val="9"/>
            <color indexed="81"/>
            <rFont val="Tahoma"/>
            <family val="2"/>
          </rPr>
          <t>Klasse C3, belasting "gematigd":</t>
        </r>
        <r>
          <rPr>
            <sz val="9"/>
            <color indexed="81"/>
            <rFont val="Tahoma"/>
            <family val="2"/>
          </rPr>
          <t xml:space="preserve">
</t>
        </r>
        <r>
          <rPr>
            <u/>
            <sz val="9"/>
            <color indexed="81"/>
            <rFont val="Tahoma"/>
            <family val="2"/>
          </rPr>
          <t>Buiten:</t>
        </r>
        <r>
          <rPr>
            <sz val="9"/>
            <color indexed="81"/>
            <rFont val="Tahoma"/>
            <family val="2"/>
          </rPr>
          <t xml:space="preserve"> Stedelijke en industriële atmosferen, gematigde zwaveldioxide vervuiling.
Kust gebieden met een Iaag zoutgehalte.
</t>
        </r>
        <r>
          <rPr>
            <u/>
            <sz val="9"/>
            <color indexed="81"/>
            <rFont val="Tahoma"/>
            <family val="2"/>
          </rPr>
          <t>Binnen:</t>
        </r>
        <r>
          <rPr>
            <sz val="9"/>
            <color indexed="81"/>
            <rFont val="Tahoma"/>
            <family val="2"/>
          </rPr>
          <t xml:space="preserve"> productiehallen met hoge Iuchtvochtigheid en enige Iuchtvervuiling.</t>
        </r>
      </text>
    </comment>
    <comment ref="B55" authorId="0" shapeId="0">
      <text>
        <r>
          <rPr>
            <b/>
            <sz val="9"/>
            <color indexed="81"/>
            <rFont val="Tahoma"/>
            <family val="2"/>
          </rPr>
          <t>Klasse C4 en zwaarder ("hoog" en daarboven):</t>
        </r>
        <r>
          <rPr>
            <sz val="9"/>
            <color indexed="81"/>
            <rFont val="Tahoma"/>
            <family val="2"/>
          </rPr>
          <t xml:space="preserve">
C4: Sterk corrosief, geldt voor alle niet geïsoIeerde objecten.
</t>
        </r>
        <r>
          <rPr>
            <u/>
            <sz val="9"/>
            <color indexed="81"/>
            <rFont val="Tahoma"/>
            <family val="2"/>
          </rPr>
          <t>Buiten:</t>
        </r>
        <r>
          <rPr>
            <sz val="9"/>
            <color indexed="81"/>
            <rFont val="Tahoma"/>
            <family val="2"/>
          </rPr>
          <t xml:space="preserve"> lndustriële en kustgebieden met gematigd zoutklimaat.
</t>
        </r>
        <r>
          <rPr>
            <u/>
            <sz val="9"/>
            <color indexed="81"/>
            <rFont val="Tahoma"/>
            <family val="2"/>
          </rPr>
          <t>Binnen:</t>
        </r>
        <r>
          <rPr>
            <sz val="9"/>
            <color indexed="81"/>
            <rFont val="Tahoma"/>
            <family val="2"/>
          </rPr>
          <t xml:space="preserve"> Chemische fabrieken en zwembaden.</t>
        </r>
      </text>
    </comment>
  </commentList>
</comments>
</file>

<file path=xl/comments6.xml><?xml version="1.0" encoding="utf-8"?>
<comments xmlns="http://schemas.openxmlformats.org/spreadsheetml/2006/main">
  <authors>
    <author>Geert Henk Wijnants</author>
  </authors>
  <commentList>
    <comment ref="I11" authorId="0" shapeId="0">
      <text>
        <r>
          <rPr>
            <b/>
            <sz val="9"/>
            <color indexed="81"/>
            <rFont val="Tahoma"/>
            <family val="2"/>
          </rPr>
          <t>Wijziging:</t>
        </r>
        <r>
          <rPr>
            <sz val="9"/>
            <color indexed="81"/>
            <rFont val="Tahoma"/>
            <family val="2"/>
          </rPr>
          <t xml:space="preserve">
Gewijzigd van 0,1 =&gt; 0,3 d.d. 23Maart2020.</t>
        </r>
      </text>
    </comment>
    <comment ref="C18" authorId="0" shapeId="0">
      <text>
        <r>
          <rPr>
            <b/>
            <sz val="8"/>
            <color indexed="81"/>
            <rFont val="Tahoma"/>
            <family val="2"/>
          </rPr>
          <t>Uitwerking:</t>
        </r>
        <r>
          <rPr>
            <sz val="8"/>
            <color indexed="81"/>
            <rFont val="Tahoma"/>
            <family val="2"/>
          </rPr>
          <t xml:space="preserve">
De uitwerking met betrekking tot TSA is gebaseerd op expertise in de werkgroep Coatings.
Op basis van verkregen expert-feedback vanuit praktijkervaringen, wordt op termijn de waarde onderbouwd met behulp van feitenmateriaal.</t>
        </r>
      </text>
    </comment>
  </commentList>
</comments>
</file>

<file path=xl/comments7.xml><?xml version="1.0" encoding="utf-8"?>
<comments xmlns="http://schemas.openxmlformats.org/spreadsheetml/2006/main">
  <authors>
    <author>Geert Henk Wijnants</author>
  </authors>
  <commentList>
    <comment ref="C2" authorId="0" shapeId="0">
      <text>
        <r>
          <rPr>
            <b/>
            <sz val="9"/>
            <color indexed="81"/>
            <rFont val="Tahoma"/>
            <family val="2"/>
          </rPr>
          <t>Wijziging:</t>
        </r>
        <r>
          <rPr>
            <sz val="9"/>
            <color indexed="81"/>
            <rFont val="Tahoma"/>
            <family val="2"/>
          </rPr>
          <t xml:space="preserve">
"met of zonder" is gewijzigd naar "met".</t>
        </r>
      </text>
    </comment>
    <comment ref="O2"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3"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4"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5"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6"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7"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8"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9"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10"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11"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O12" authorId="0" shapeId="0">
      <text>
        <r>
          <rPr>
            <b/>
            <sz val="9"/>
            <color indexed="81"/>
            <rFont val="Tahoma"/>
            <family val="2"/>
          </rPr>
          <t>Referentie:</t>
        </r>
        <r>
          <rPr>
            <sz val="9"/>
            <color indexed="81"/>
            <rFont val="Tahoma"/>
            <family val="2"/>
          </rPr>
          <t xml:space="preserve">
Afkomstig uit werkblad [Aanvullende info kosten_november 2019 v3.xlsx].</t>
        </r>
      </text>
    </comment>
    <comment ref="C39" authorId="0" shapeId="0">
      <text>
        <r>
          <rPr>
            <b/>
            <sz val="9"/>
            <color indexed="81"/>
            <rFont val="Tahoma"/>
            <family val="2"/>
          </rPr>
          <t>Toelichting:</t>
        </r>
        <r>
          <rPr>
            <sz val="9"/>
            <color indexed="81"/>
            <rFont val="Tahoma"/>
            <family val="2"/>
          </rPr>
          <t xml:space="preserve">
De reductiefactor varieert tussen 100%, géén enkele reductie, tot 1%, maximale reductie.</t>
        </r>
      </text>
    </comment>
    <comment ref="C41" authorId="0" shapeId="0">
      <text>
        <r>
          <rPr>
            <b/>
            <sz val="9"/>
            <color indexed="81"/>
            <rFont val="Tahoma"/>
            <family val="2"/>
          </rPr>
          <t>Opmerking:</t>
        </r>
        <r>
          <rPr>
            <sz val="9"/>
            <color indexed="81"/>
            <rFont val="Tahoma"/>
            <family val="2"/>
          </rPr>
          <t xml:space="preserve">
Dit veld is in momenteel nog niet in te vullen aangezien de gegevens daarvoor ontbreken.</t>
        </r>
      </text>
    </comment>
  </commentList>
</comments>
</file>

<file path=xl/sharedStrings.xml><?xml version="1.0" encoding="utf-8"?>
<sst xmlns="http://schemas.openxmlformats.org/spreadsheetml/2006/main" count="836" uniqueCount="640">
  <si>
    <t xml:space="preserve">
</t>
  </si>
  <si>
    <t>Installatie:</t>
  </si>
  <si>
    <t>Locatie:</t>
  </si>
  <si>
    <t>Unit:</t>
  </si>
  <si>
    <t>Component:</t>
  </si>
  <si>
    <t>Materiaal:</t>
  </si>
  <si>
    <t>Isolatie:</t>
  </si>
  <si>
    <t>Conditie:</t>
  </si>
  <si>
    <t>In gebruik sinds:</t>
  </si>
  <si>
    <t>Proces temperatuur:</t>
  </si>
  <si>
    <t>Procesvoering:</t>
  </si>
  <si>
    <t>Proces type:</t>
  </si>
  <si>
    <t>Gas</t>
  </si>
  <si>
    <t>Vloeistof</t>
  </si>
  <si>
    <t>Wisselend</t>
  </si>
  <si>
    <t>Betreft:</t>
  </si>
  <si>
    <t>Opties:</t>
  </si>
  <si>
    <t>Toelichting:</t>
  </si>
  <si>
    <t>Koude</t>
  </si>
  <si>
    <t>Warmte</t>
  </si>
  <si>
    <t>1; Zeer goed</t>
  </si>
  <si>
    <t>2; Goed</t>
  </si>
  <si>
    <t>3; Matig</t>
  </si>
  <si>
    <t>4; Slecht</t>
  </si>
  <si>
    <t>5; Zeer slecht</t>
  </si>
  <si>
    <t>6; Onacceptabel</t>
  </si>
  <si>
    <t>Bijgaand referentie beelden voor de inspectie van isolatie.</t>
  </si>
  <si>
    <t>Klasse:</t>
  </si>
  <si>
    <t>Aktie:</t>
  </si>
  <si>
    <t>Referentiebeeld:</t>
  </si>
  <si>
    <t>Nieuw</t>
  </si>
  <si>
    <t>Zeer goed</t>
  </si>
  <si>
    <t>Goed</t>
  </si>
  <si>
    <t>Matig</t>
  </si>
  <si>
    <t>Slecht</t>
  </si>
  <si>
    <t>Zeer slecht</t>
  </si>
  <si>
    <t>Onacceptabel</t>
  </si>
  <si>
    <t>Nieuw, nét geplaatst, voldoet aan nieuwbouw eisen (CINI etc).</t>
  </si>
  <si>
    <t>Gebruikt, voldoet aan alle eisen.</t>
  </si>
  <si>
    <t>Sectie "randvoorwaarden" voor het optreden van een faalmechanisme.</t>
  </si>
  <si>
    <t>Toestand isolatie:</t>
  </si>
  <si>
    <t>&lt; Classificatie volgens [Isol.Cond.Class.]</t>
  </si>
  <si>
    <t>Weersinvloeden:</t>
  </si>
  <si>
    <t>Buiten</t>
  </si>
  <si>
    <t>&lt;&lt; Kans op intredend vocht</t>
  </si>
  <si>
    <t>Binnen-droog</t>
  </si>
  <si>
    <t>Binnen-vochtig</t>
  </si>
  <si>
    <t>Overdekt-droog</t>
  </si>
  <si>
    <t>Overdekt-vochtig</t>
  </si>
  <si>
    <t>Mate van inlek:</t>
  </si>
  <si>
    <t xml:space="preserve">Risk matrix; Table 3; NEN-EN 16991; </t>
  </si>
  <si>
    <t>MOTBF</t>
  </si>
  <si>
    <t>PoF annual</t>
  </si>
  <si>
    <t>Qualitative</t>
  </si>
  <si>
    <t>Description:</t>
  </si>
  <si>
    <t>Cat.</t>
  </si>
  <si>
    <t>&lt; 1 Year</t>
  </si>
  <si>
    <t>1-5 Years</t>
  </si>
  <si>
    <t>5-25 years</t>
  </si>
  <si>
    <t>PoF_U_Limit</t>
  </si>
  <si>
    <r>
      <t>&gt; 10</t>
    </r>
    <r>
      <rPr>
        <vertAlign val="superscript"/>
        <sz val="10"/>
        <color theme="1"/>
        <rFont val="Trebuchet MS"/>
        <family val="2"/>
      </rPr>
      <t>-2</t>
    </r>
  </si>
  <si>
    <r>
      <t>10</t>
    </r>
    <r>
      <rPr>
        <vertAlign val="superscript"/>
        <sz val="10"/>
        <color theme="1"/>
        <rFont val="Trebuchet MS"/>
        <family val="2"/>
      </rPr>
      <t>-3</t>
    </r>
    <r>
      <rPr>
        <sz val="10"/>
        <color theme="1"/>
        <rFont val="Trebuchet MS"/>
        <family val="2"/>
      </rPr>
      <t xml:space="preserve"> to 10</t>
    </r>
    <r>
      <rPr>
        <vertAlign val="superscript"/>
        <sz val="10"/>
        <color theme="1"/>
        <rFont val="Trebuchet MS"/>
        <family val="2"/>
      </rPr>
      <t>-2</t>
    </r>
  </si>
  <si>
    <r>
      <t>10</t>
    </r>
    <r>
      <rPr>
        <vertAlign val="superscript"/>
        <sz val="10"/>
        <color theme="1"/>
        <rFont val="Trebuchet MS"/>
        <family val="2"/>
      </rPr>
      <t>-4</t>
    </r>
    <r>
      <rPr>
        <sz val="10"/>
        <color theme="1"/>
        <rFont val="Trebuchet MS"/>
        <family val="2"/>
      </rPr>
      <t xml:space="preserve"> to 10</t>
    </r>
    <r>
      <rPr>
        <vertAlign val="superscript"/>
        <sz val="10"/>
        <color theme="1"/>
        <rFont val="Trebuchet MS"/>
        <family val="2"/>
      </rPr>
      <t>-3</t>
    </r>
  </si>
  <si>
    <r>
      <t>10</t>
    </r>
    <r>
      <rPr>
        <vertAlign val="superscript"/>
        <sz val="10"/>
        <color theme="1"/>
        <rFont val="Trebuchet MS"/>
        <family val="2"/>
      </rPr>
      <t>-5</t>
    </r>
    <r>
      <rPr>
        <sz val="10"/>
        <color theme="1"/>
        <rFont val="Trebuchet MS"/>
        <family val="2"/>
      </rPr>
      <t xml:space="preserve"> to 10</t>
    </r>
    <r>
      <rPr>
        <vertAlign val="superscript"/>
        <sz val="10"/>
        <color theme="1"/>
        <rFont val="Trebuchet MS"/>
        <family val="2"/>
      </rPr>
      <t>-4</t>
    </r>
  </si>
  <si>
    <r>
      <t>&lt; 10</t>
    </r>
    <r>
      <rPr>
        <vertAlign val="superscript"/>
        <sz val="10"/>
        <color theme="1"/>
        <rFont val="Trebuchet MS"/>
        <family val="2"/>
      </rPr>
      <t>-5</t>
    </r>
  </si>
  <si>
    <t>Very probable</t>
  </si>
  <si>
    <t>Probable</t>
  </si>
  <si>
    <t>Possible</t>
  </si>
  <si>
    <t>Unlikely</t>
  </si>
  <si>
    <t>Very unlikely</t>
  </si>
  <si>
    <t>Probability of Failure / Likelyhood</t>
  </si>
  <si>
    <t>Notes:</t>
  </si>
  <si>
    <t>*  Small population = 20 to 50 items of equipment</t>
  </si>
  <si>
    <t>**  Large population = More than 50 items of equipment</t>
  </si>
  <si>
    <t>A</t>
  </si>
  <si>
    <t>B</t>
  </si>
  <si>
    <t>C</t>
  </si>
  <si>
    <t>D</t>
  </si>
  <si>
    <t>E</t>
  </si>
  <si>
    <t>Health</t>
  </si>
  <si>
    <t>Safety</t>
  </si>
  <si>
    <t>Warning issued.
No effect.</t>
  </si>
  <si>
    <t>Warning issued.
Possible impact.</t>
  </si>
  <si>
    <t>Temporary health problems,
curable</t>
  </si>
  <si>
    <t>Limited impact on public health, threat of chronic diseases</t>
  </si>
  <si>
    <t>Serious impact on public health, life threatening illness</t>
  </si>
  <si>
    <t>No aid needed.
Work disruption.</t>
  </si>
  <si>
    <t>First aid needed.
No work disability.</t>
  </si>
  <si>
    <t>Temporaty work disability.</t>
  </si>
  <si>
    <t>Permanent work disability.</t>
  </si>
  <si>
    <t>Fatalities.</t>
  </si>
  <si>
    <t>Environment</t>
  </si>
  <si>
    <t>Negligible impact.</t>
  </si>
  <si>
    <t>Impact (e.g. spill) contained.</t>
  </si>
  <si>
    <t>Minor impact (e.g. spill)</t>
  </si>
  <si>
    <t>On-site damage.</t>
  </si>
  <si>
    <t>Off-site damage.
Long term effect.</t>
  </si>
  <si>
    <t>Business (€)</t>
  </si>
  <si>
    <t>Security</t>
  </si>
  <si>
    <t>None</t>
  </si>
  <si>
    <t>On-site (Local)</t>
  </si>
  <si>
    <t>On-site (General)</t>
  </si>
  <si>
    <t>Off site</t>
  </si>
  <si>
    <t>Society threat</t>
  </si>
  <si>
    <t>Loss of reputation</t>
  </si>
  <si>
    <t>Minor</t>
  </si>
  <si>
    <t>Bad publicity</t>
  </si>
  <si>
    <t>Company issue</t>
  </si>
  <si>
    <t>Political issue</t>
  </si>
  <si>
    <t>Public disruption</t>
  </si>
  <si>
    <t>Negligible</t>
  </si>
  <si>
    <t>Small community</t>
  </si>
  <si>
    <t>Large community</t>
  </si>
  <si>
    <t>Very low
(negligible risk)</t>
  </si>
  <si>
    <t>Low risk</t>
  </si>
  <si>
    <t>Medium risk</t>
  </si>
  <si>
    <t>High risk</t>
  </si>
  <si>
    <t>Very High risk</t>
  </si>
  <si>
    <t>Failure has occurred several times a year in location.</t>
  </si>
  <si>
    <t>Failure has occurred several times a year in operating company.</t>
  </si>
  <si>
    <t>Failure has occurred in company.</t>
  </si>
  <si>
    <t>Failure has occurred in industry</t>
  </si>
  <si>
    <t>Failure has not occurred in industry.</t>
  </si>
  <si>
    <t>Failure is not expected</t>
  </si>
  <si>
    <t>Several failures may occur during the life of the installation for a system comprising of a large number of equipment</t>
  </si>
  <si>
    <t>Several failures may occur during the life of the installation for a system comprising or a small number of equipment.</t>
  </si>
  <si>
    <t>In a large population**, one or more failures can be expected annually.</t>
  </si>
  <si>
    <t>In a small population*, one or more failures can be expected annually.</t>
  </si>
  <si>
    <t>Lower limits calc.</t>
  </si>
  <si>
    <t>Upper limits calc.</t>
  </si>
  <si>
    <t>Averaged limits calc.</t>
  </si>
  <si>
    <t>U_Limit</t>
  </si>
  <si>
    <t>POF</t>
  </si>
  <si>
    <t>Conclusie:</t>
  </si>
  <si>
    <t>Gevolgen van falen:</t>
  </si>
  <si>
    <t>Kans van falen:</t>
  </si>
  <si>
    <t>Aanwezig risico</t>
  </si>
  <si>
    <t>(5 is maximaal, 1 is minimaal)</t>
  </si>
  <si>
    <t>Skin-temperatuur:</t>
  </si>
  <si>
    <t>Isolatie conditie:</t>
  </si>
  <si>
    <t>Berekening tijd tot falen.</t>
  </si>
  <si>
    <t>Leeftijd:</t>
  </si>
  <si>
    <t>&lt; Vastgesteld op basis van bekende gegevens vanuit commissioning en het aantal jaren gebruik.</t>
  </si>
  <si>
    <t>&lt; Vastgesteld op basis van proces temperatuur, medium en geometrische factoren; evt. IR meting.</t>
  </si>
  <si>
    <t>C-staal</t>
  </si>
  <si>
    <t>Corrosie gedrag:</t>
  </si>
  <si>
    <t>Nul-grens:</t>
  </si>
  <si>
    <t>Actief:</t>
  </si>
  <si>
    <t>Passief:</t>
  </si>
  <si>
    <t>Degradatie snelheid:</t>
  </si>
  <si>
    <t>Coating:</t>
  </si>
  <si>
    <t>Ongecoat</t>
  </si>
  <si>
    <t>#:</t>
  </si>
  <si>
    <t>Rekenhulpje:</t>
  </si>
  <si>
    <t>Corrosie marge:</t>
  </si>
  <si>
    <t>Tijd tot normatief falen:</t>
  </si>
  <si>
    <t>&lt; Jaren ná commissioning (toestand minimaal "goed")</t>
  </si>
  <si>
    <t>&lt; Alléén indien "geen", Degradatie snelheid 0, anders volgens tabel hieronder.</t>
  </si>
  <si>
    <t>Resterende tijd tot ,,   ,,  :</t>
  </si>
  <si>
    <t>Faalkans categorie:</t>
  </si>
  <si>
    <t>World Class Maintenance.</t>
  </si>
  <si>
    <t>Project:</t>
  </si>
  <si>
    <t>Risk Based Corrosie Onder Isolatie Management.</t>
  </si>
  <si>
    <t>Tool die projectonderdelen Risk Based CUI Management integreert.</t>
  </si>
  <si>
    <t>Input</t>
  </si>
  <si>
    <t>Resultaat van invoer (output):</t>
  </si>
  <si>
    <t>Output</t>
  </si>
  <si>
    <t>Invoer van gegevens (input):</t>
  </si>
  <si>
    <t>Link:</t>
  </si>
  <si>
    <t>Gecoat</t>
  </si>
  <si>
    <t>Latentietijd:</t>
  </si>
  <si>
    <t>Latentie periode:</t>
  </si>
  <si>
    <t>C-staal; TSA</t>
  </si>
  <si>
    <t>&lt; jaren met bescherming door gebruik van coating / beschermende laag.</t>
  </si>
  <si>
    <t>TSA</t>
  </si>
  <si>
    <t>C-staal; gecoat</t>
  </si>
  <si>
    <t>&lt; Zie tab [NEN-EN 16991]; laatste optie verwijst naar tab [Faalkans]</t>
  </si>
  <si>
    <t xml:space="preserve">&lt; Zie tab [NEN-EN 16991]; </t>
  </si>
  <si>
    <r>
      <t xml:space="preserve">Nieuwe gegevens hierboven, </t>
    </r>
    <r>
      <rPr>
        <b/>
        <i/>
        <sz val="10"/>
        <color theme="1"/>
        <rFont val="Trebuchet MS"/>
        <family val="2"/>
      </rPr>
      <t>vóór</t>
    </r>
    <r>
      <rPr>
        <i/>
        <sz val="10"/>
        <color theme="1"/>
        <rFont val="Trebuchet MS"/>
        <family val="2"/>
      </rPr>
      <t xml:space="preserve"> regel 4, tussen voegen (dan worden de formules direct aangepast).</t>
    </r>
  </si>
  <si>
    <t>Mate van risico reductie:</t>
  </si>
  <si>
    <t>Een referentie kader voor "effecten van coating" is beschikbaar via EFC 55 en literatuur.</t>
  </si>
  <si>
    <t>Artikel [Measurement-of-Corrosion-Under-Insulation.pdf] geeft een indicatie voor die mate van invloed.</t>
  </si>
  <si>
    <t>Zie tab [Faalkans] (rij 18 en 19)</t>
  </si>
  <si>
    <t>&lt;&lt; Risico op dit moment, kwalitatief uitgedrukt vlgs EN 16991, zónder toepassing van beheersmaatregelen.</t>
  </si>
  <si>
    <t>Toe te passen beheersmaatregel:</t>
  </si>
  <si>
    <t>Aanwezig rest-risico</t>
  </si>
  <si>
    <t>&lt;&lt; de te behalen risico reductie, wanneer de conditie van de component (het faalmechanisme) wordt onderzocht.</t>
  </si>
  <si>
    <t>Dit tabblad bevat de succescriteria voor het gehele project, zoals benoemd in verschillende gesprekken.</t>
  </si>
  <si>
    <t>Criterium:</t>
  </si>
  <si>
    <t>Betreft (BP= “Best Practise CUI management”):</t>
  </si>
  <si>
    <t>Benoem rollen mbt wettelijk noodzakelijk en voor Multi Year plan in de BP.</t>
  </si>
  <si>
    <t>De BP identificeert waar aktie ligt: Ontwerp / Awareness/ Inspectie &amp; commissioning / Remediatie</t>
  </si>
  <si>
    <t>BP heeft opzet van toetspunten (vergelijk PGS) met opties.</t>
  </si>
  <si>
    <t>BP heeft géén “voorschrijvend” maar “voorlichtend” karakter (bijv. “als je deze risicomatrix gebruikt, zijn de voordelen ….)</t>
  </si>
  <si>
    <t>De eerste bijeenkomst bevat een inventarisatie van verwachtingen van de deelnemers.</t>
  </si>
  <si>
    <t>De best practise bevat de doelmatigheidsvraag: hoever moet je gaan om “voldoende” te beheersen. Dit gaat zowel over organisatie als qua omvang en intensiteit van activiteiten.</t>
  </si>
  <si>
    <t>De BP adresseert wat je zelf moet doen en wat je kunt uitbesteden.</t>
  </si>
  <si>
    <t>De BP bevat een business case om CUI “eruit te engineeren”.</t>
  </si>
  <si>
    <t>De BP identificeert specifieke probleemgebieden zoals “temperatuur pendeling”.</t>
  </si>
  <si>
    <t>Er wordt vroegtijdig een “draft versie BP” opgeleverd om de uiteindelijke structuur zeker te stellen.</t>
  </si>
  <si>
    <t>Bron:</t>
  </si>
  <si>
    <t>Gesprek 11Dec18 met Bert Goffings en Jan Nijboer.</t>
  </si>
  <si>
    <t>Betreft (NDO= “Werkgroep NDO Effectiviteit”):</t>
  </si>
  <si>
    <t>De beoordeling van technieken sluit aan bij de beschikbare kennis door de inzet van een beoordeling van de effectiviteit middels een drietal levels. Het hoogste niveau is de beoordeling middels een gevalideerde POD generator.</t>
  </si>
  <si>
    <t>De beoordeling van een techniek is gekoppeld aan een schademechanisme waarvoor het wordt toegepast. Een “one technique fits all” sluit niet aan bij de praktijk.</t>
  </si>
  <si>
    <t>Ervaring vanuit de praktijk in de vorm van “aantallen toepassingen” en de daaruit resulterende betrouwbaarheid, geven zicht op een effectiviteit op niveau 1. Om dit praktisch in te kunnen zetten is dan wel nodig dat gegevens beschikbaar zijn met betrekking tot “false calls” en “false positives”, oftewel de daadwerkelijke effectiviteit van de toegepaste techniek is praktisch onderzocht en traceerbaar.</t>
  </si>
  <si>
    <t>Waar dit soort gegevens ontbreken, kunnen de gegevens op basis van de expert opinions worden uitgewerkt.</t>
  </si>
  <si>
    <t>De beoordeling van de toestand van isolatie middels visuele inspectie wordt ingevuld op vergelijkbare manier als dat dit voor andere technieken wordt uitgewerkt.</t>
  </si>
  <si>
    <t>Gesprek 18Dec18 met Jan Heerings.</t>
  </si>
  <si>
    <t>Betreft (BP= “Best Practise Risk Based CUI Management”):</t>
  </si>
  <si>
    <t>De best practise bevat een uitwerking in de vorm van een Excel sheet met verschillende TAB’s, waarmee de bij gebruik van de BP verkregen risicobeoordeling inzichtelijk is.</t>
  </si>
  <si>
    <t>De BP kent een uitwerking voor de beoordeling van de toestand van isolatie, die qua opzet vergelijkbaar is met die voor andere NDO technieken.</t>
  </si>
  <si>
    <t>BP-C10.</t>
  </si>
  <si>
    <t>BP-C9.</t>
  </si>
  <si>
    <t>BP-C1.  </t>
  </si>
  <si>
    <t>BP-C2.  </t>
  </si>
  <si>
    <t>BP-C3.  </t>
  </si>
  <si>
    <t>BP-C4.  </t>
  </si>
  <si>
    <t>BP-C5.  </t>
  </si>
  <si>
    <t>BP-C6.  </t>
  </si>
  <si>
    <t>BP-C7.  </t>
  </si>
  <si>
    <t>BP-C8.  </t>
  </si>
  <si>
    <t>NDO-C1.</t>
  </si>
  <si>
    <t>NDO-C2.</t>
  </si>
  <si>
    <t>NDO-C3.</t>
  </si>
  <si>
    <t>NDO-C4.</t>
  </si>
  <si>
    <t>BP-C11.</t>
  </si>
  <si>
    <t>BP-C12.</t>
  </si>
  <si>
    <t>BP-C13.</t>
  </si>
  <si>
    <t>BP-C14.</t>
  </si>
  <si>
    <t>BP-C15.</t>
  </si>
  <si>
    <t>Gesprek 7Jan19 met Danny Schepkens.</t>
  </si>
  <si>
    <t>Kostentechnisch: De BP kent een uitwerking / procesbeschrijving voor de beslissing tussen een geografisch gebaseerde aanpak tov een zuiver risicogebaseerde aanpak danwel een combinatie van beiden.</t>
  </si>
  <si>
    <t>Kostentechnisch: De BP bevat beslissingsondersteuning voor beheersscenario's (inspecteren / vervangen) door middel van een uitgewerkt praktisch voorbeeld voor een bep. materiaalkeuze/diam./hoogte/techniek combinatie (n.b.: kosten zijn sterk afhankelijk van de hoogte).</t>
  </si>
  <si>
    <r>
      <t xml:space="preserve">Effectiviteit: De best practise voorziet in het aanscherpen van de verhouding tussen </t>
    </r>
    <r>
      <rPr>
        <b/>
        <sz val="9.5"/>
        <color theme="1"/>
        <rFont val="Trebuchet MS"/>
        <family val="2"/>
      </rPr>
      <t>prognose</t>
    </r>
    <r>
      <rPr>
        <sz val="9.5"/>
        <color theme="1"/>
        <rFont val="Trebuchet MS"/>
        <family val="2"/>
      </rPr>
      <t xml:space="preserve"> “false positives” en “false negatives” middels de aanpak (10% / 25%; 50% </t>
    </r>
    <r>
      <rPr>
        <i/>
        <u/>
        <sz val="9.5"/>
        <color theme="1"/>
        <rFont val="Trebuchet MS"/>
        <family val="2"/>
      </rPr>
      <t>via voorselectie</t>
    </r>
    <r>
      <rPr>
        <sz val="9.5"/>
        <color theme="1"/>
        <rFont val="Trebuchet MS"/>
        <family val="2"/>
      </rPr>
      <t>) op basis van de praktijkervaring.</t>
    </r>
  </si>
  <si>
    <t>BP-C16.</t>
  </si>
  <si>
    <t>BP dusdanig concreet/SMART inrichten, dat de resultaten als "direct aanwijzing op basis van risico" worden geïdentificeerd. Ter vergelijking: acceptatie van SIL assessments.</t>
  </si>
  <si>
    <t>Afstemming 8Jan19 in werkgroep BP verband.</t>
  </si>
  <si>
    <t>BP bevat onderdeel "omgaan met valkuilen" cq "moeilijke situaties", zoals &lt;cold spots&gt; en &lt;pendelende temperaturen&gt;. Hoe daar mee om te gaan zal middels een flowschema inzichtelijk gemaakt worden.</t>
  </si>
  <si>
    <t>BP-C17.</t>
  </si>
  <si>
    <t>BP-C18.</t>
  </si>
  <si>
    <t>BP heeft een opzet die in staat stelt het werkproces te zien als een "geborgd proces". Maw als je dit toepast, krijg je het beoogde resultaat. De BP vormt daarmee een alternatief voor "wettelijk 25 jaar onbekleed" wat vroeger van toepassing was vanuit PrdA voor keuringsplichtige toestellen.</t>
  </si>
  <si>
    <t>Toelichting op dit werkblad:</t>
  </si>
  <si>
    <t>Sectie "installatie gegevens" voor het vastleggen van het ontwerp.</t>
  </si>
  <si>
    <t>Sectie "Risicobeoordeling"; beoordeelt het aanwezige risico bij het optreden van een faalmechanisme.</t>
  </si>
  <si>
    <t>Sectie "risicoreductie": Beoordeling aanwezige risico bij toepassen van een NDO techniek.</t>
  </si>
  <si>
    <t>&lt;&lt; dit is het best resultaat, indien de [mogelijke conditie] in werkelijkheid een betere [werkelijke conditie] blijkt te zijn.</t>
  </si>
  <si>
    <t xml:space="preserve">
</t>
  </si>
  <si>
    <t>N.b.: "Very high", betekent dat een aantoonbaar effectieve beheersmaatregel noodzakelijk is!</t>
  </si>
  <si>
    <t xml:space="preserve">Het bovenste gedeelte van dit tabblad (eerste sectie) karakteriseert de procesomstandigheden.
De sectie "randvoorwaarden" daaronder, geeft weer of degradatie mogelijk is wat betreft isolatie én omgevingsfactoren (aanwezigheid vocht)
De sectie "risicobeoordeling", maakt gebruik van de resultaten van de faalkans berekening die plaatsvindt op het tabblad [Faalkans]. Het daaraan verbonden risico van falen wordt in deze sectie uitgewerkt.
De effecten van een aangebrachte coating worden in het tabblad [Faalkans] verwerkt, gebruikmakend van model gegevens uit het tabblad [Coating bescherming].
De sectie "risicoreductie", geeft tenslotte aan wat de potentiële verbetering in risico kan zijn wanneer de vastgestelde conditie beter blijkt te zijn dan de verwachte conditie (de verwachting is gebaseerd op een "reasonable worst case" voorspelling).
</t>
  </si>
  <si>
    <t>°</t>
  </si>
  <si>
    <t>Temperatuur vlgs P&amp;ID of proces, met gegevens hieronder([Proces type] &amp; [Component]) te herleiden tot skintemperatuur.</t>
  </si>
  <si>
    <t>Qualicoat systeem:</t>
  </si>
  <si>
    <t>Corrosivity class C1 corresponds to the neutral interior atmosphere of a dry and heated building</t>
  </si>
  <si>
    <t>Atmosphere with low degree of pollution. Rural areas in particular.  Unheated buildings where condensation may occur. Examples: storage areas, sports centres ...</t>
  </si>
  <si>
    <t xml:space="preserve">Urban and industrial atmospheres, moderate sulphur dioxide 
pollution. Coastal areas with low salt content.  Production area with high humidity and some pollution.  Examples: food industry, laundries, breweries, dairy plants etc.  </t>
  </si>
  <si>
    <t xml:space="preserve">Industrial and coastal areas with a moderate salt content. Examples: chemical factories, swimming baths, shipyards on the coast etc. </t>
  </si>
  <si>
    <t xml:space="preserve">Industrial areas with an high humidity and an aggressive atmosphere. Buildings or zones with permanent condensation  and a high contamination. </t>
  </si>
  <si>
    <t xml:space="preserve">Coastal areas and maritime zones with a high salt content. Buildings  or  zones  with  permanent  condensation and a high contamination. </t>
  </si>
  <si>
    <t>5i</t>
  </si>
  <si>
    <t>5m</t>
  </si>
  <si>
    <t>Product:</t>
  </si>
  <si>
    <t>Uitgangspunten:</t>
  </si>
  <si>
    <t>Het gaat alleen om functionele eisen, voor de functie: afschermen van onderliggende isolatie tegen omgevingsinvloeden.</t>
  </si>
  <si>
    <t>&lt; Degradatie als functie van temperatuur, zie kolom [Actief:].</t>
  </si>
  <si>
    <t>&lt; Ingesteld op tab [Installatie]</t>
  </si>
  <si>
    <t>&lt;  Vastgesteld voor het installatiedeel op tab [Installatie], dus ná commissioning van de component.</t>
  </si>
  <si>
    <t>&lt; Tijd tot voorspeld normatief falen; negatief is "overdue".</t>
  </si>
  <si>
    <r>
      <rPr>
        <b/>
        <sz val="10"/>
        <color theme="1"/>
        <rFont val="Trebuchet MS"/>
        <family val="2"/>
      </rPr>
      <t>Aanwezige proces flow:</t>
    </r>
    <r>
      <rPr>
        <sz val="10"/>
        <color theme="1"/>
        <rFont val="Trebuchet MS"/>
        <family val="2"/>
      </rPr>
      <t xml:space="preserve"> (vanuit diverse projectonderdelen)</t>
    </r>
  </si>
  <si>
    <t>Verdien capaciteit:</t>
  </si>
  <si>
    <t>( Dmv Risico kapitalisatie in €'s/jr.).</t>
  </si>
  <si>
    <t>( Ook wel Monetair Equivalent genoemd</t>
  </si>
  <si>
    <t>WCM  Project onderdelen:</t>
  </si>
  <si>
    <r>
      <rPr>
        <b/>
        <sz val="10"/>
        <color theme="1"/>
        <rFont val="Trebuchet MS"/>
        <family val="2"/>
      </rPr>
      <t>Gebruikte kleur codering:</t>
    </r>
    <r>
      <rPr>
        <b/>
        <sz val="9"/>
        <color theme="1"/>
        <rFont val="Trebuchet MS"/>
        <family val="2"/>
      </rPr>
      <t xml:space="preserve"> </t>
    </r>
    <r>
      <rPr>
        <sz val="9"/>
        <color theme="1"/>
        <rFont val="Trebuchet MS"/>
        <family val="2"/>
      </rPr>
      <t>(standaard vlgs Microsoft Excel):</t>
    </r>
  </si>
  <si>
    <r>
      <t xml:space="preserve">       of JEV - </t>
    </r>
    <r>
      <rPr>
        <b/>
        <sz val="10"/>
        <color theme="1"/>
        <rFont val="Calibri"/>
        <family val="2"/>
      </rPr>
      <t>J</t>
    </r>
    <r>
      <rPr>
        <sz val="10"/>
        <color theme="1"/>
        <rFont val="Calibri"/>
        <family val="2"/>
      </rPr>
      <t xml:space="preserve">aarlijks </t>
    </r>
    <r>
      <rPr>
        <b/>
        <sz val="10"/>
        <color theme="1"/>
        <rFont val="Calibri"/>
        <family val="2"/>
      </rPr>
      <t>E</t>
    </r>
    <r>
      <rPr>
        <sz val="10"/>
        <color theme="1"/>
        <rFont val="Calibri"/>
        <family val="2"/>
      </rPr>
      <t xml:space="preserve">quivalente </t>
    </r>
    <r>
      <rPr>
        <b/>
        <sz val="10"/>
        <color theme="1"/>
        <rFont val="Calibri"/>
        <family val="2"/>
      </rPr>
      <t>W</t>
    </r>
    <r>
      <rPr>
        <sz val="10"/>
        <color theme="1"/>
        <rFont val="Calibri"/>
        <family val="2"/>
      </rPr>
      <t>aarde)</t>
    </r>
  </si>
  <si>
    <t>Wisselingen nat-droog</t>
  </si>
  <si>
    <t>10 – 50 C</t>
  </si>
  <si>
    <t>&gt;120 C</t>
  </si>
  <si>
    <t>50 – 80 C</t>
  </si>
  <si>
    <t>&lt;10 C (condensatie)</t>
  </si>
  <si>
    <t>80 – 120 C</t>
  </si>
  <si>
    <t>&gt;100 /y</t>
  </si>
  <si>
    <t>10-100 /y</t>
  </si>
  <si>
    <t>&lt;10 /y</t>
  </si>
  <si>
    <t>Wisselingen nat-droog (/jr.) &gt;=</t>
  </si>
  <si>
    <t>Nat-droog risicomatrix</t>
  </si>
  <si>
    <t>[zout]</t>
  </si>
  <si>
    <t>High</t>
  </si>
  <si>
    <t>Middle</t>
  </si>
  <si>
    <t>Low</t>
  </si>
  <si>
    <t>Zout risicomatrix</t>
  </si>
  <si>
    <t>MC19-100 CUI WCM project - CUI v-corr 29jan19.docx</t>
  </si>
  <si>
    <t>Uitwerking van Peter Janssen en Jacko Aerts.</t>
  </si>
  <si>
    <t>Opmerking:</t>
  </si>
  <si>
    <t>Bij nieuwbouw kan een categorie 4 van toepassing zijn indien afwatering naar/in de isolatie mogelijk is.</t>
  </si>
  <si>
    <t>Aktie binnen maximaal 6 jaar.</t>
  </si>
  <si>
    <t>Aktie binnen maximaal 3 jaar uitgevoerd.</t>
  </si>
  <si>
    <t>Onmiddellijk maatregel, binnen maximaal 1 jaar uitgevoerd.</t>
  </si>
  <si>
    <t>Volgen gangbare inspectie regime voor CUI management.</t>
  </si>
  <si>
    <t>Inwateren en verzamelen (hold-up) van water.</t>
  </si>
  <si>
    <t>Dit betreft de inspectie van de toestand van de beplating met de waterdichte afwerking.</t>
  </si>
  <si>
    <t>Een beheersmaatregel kan eruit bestaan dat een risicoanalyse met Fitness For Purpose wordt uitgevoerd.</t>
  </si>
  <si>
    <t>25-120 years</t>
  </si>
  <si>
    <t>&gt; 125 years</t>
  </si>
  <si>
    <t>Met de risicomatrix zoals weergegeven, komt het risico in kostenweergave in alle situties overeen met het risico in kleurweergave.</t>
  </si>
  <si>
    <t>De kleurweergave is daarbij aangepast, waarbij de categorie &gt; 125 met de hoogste consequenties nu geel is geworden (= vermijden indien haalbaar).</t>
  </si>
  <si>
    <t>Risico's verwaarloosbaar.</t>
  </si>
  <si>
    <t>Risico's acceptabel.</t>
  </si>
  <si>
    <t>Risico's beperken zonder specifieke eisen.</t>
  </si>
  <si>
    <t>Het argument waarom een serious impact met laagste frequentie, geel mag zijn, is dat dit reasonable worst case niet voorkomt tijdens de levensduur van de installatie.</t>
  </si>
  <si>
    <r>
      <t>Uitgangspunt is dat de installatie veilig is ontworpen, dus dat vanuit het ontwerp aan veiligheidsniveau met kans op fataal incident &lt; 10</t>
    </r>
    <r>
      <rPr>
        <vertAlign val="superscript"/>
        <sz val="10"/>
        <color theme="1"/>
        <rFont val="Trebuchet MS"/>
        <family val="2"/>
      </rPr>
      <t>-5</t>
    </r>
    <r>
      <rPr>
        <sz val="10"/>
        <color theme="1"/>
        <rFont val="Trebuchet MS"/>
        <family val="2"/>
      </rPr>
      <t xml:space="preserve"> jr</t>
    </r>
    <r>
      <rPr>
        <vertAlign val="superscript"/>
        <sz val="10"/>
        <color theme="1"/>
        <rFont val="Trebuchet MS"/>
        <family val="2"/>
      </rPr>
      <t>-1</t>
    </r>
    <r>
      <rPr>
        <sz val="10"/>
        <color theme="1"/>
        <rFont val="Trebuchet MS"/>
        <family val="2"/>
      </rPr>
      <t xml:space="preserve"> wordt voldaan.</t>
    </r>
  </si>
  <si>
    <t>De schijnbare discrepantie tussen TTF en faalkans is gelegen in het feit dat de faalkans verondersteld wordt aanwezig te zijn binnen de aangegeven TTF periode.</t>
  </si>
  <si>
    <r>
      <t>(Denk aan faalkans van accu is 10</t>
    </r>
    <r>
      <rPr>
        <vertAlign val="superscript"/>
        <sz val="10"/>
        <color theme="1"/>
        <rFont val="Trebuchet MS"/>
        <family val="2"/>
      </rPr>
      <t>-4</t>
    </r>
    <r>
      <rPr>
        <sz val="10"/>
        <color theme="1"/>
        <rFont val="Trebuchet MS"/>
        <family val="2"/>
      </rPr>
      <t xml:space="preserve"> binnen de levensduur van een accu cq TTF van 4 jaar).</t>
    </r>
  </si>
  <si>
    <t>Aktie mbt risicoreductie:</t>
  </si>
  <si>
    <t>Risico's aantoonbaar met een bewezen factor 10-100 terugbrengen tot "gele zone"</t>
  </si>
  <si>
    <t>Gebruikte pictogrammen:</t>
  </si>
  <si>
    <t>=Visuele inspectie</t>
  </si>
  <si>
    <t>=Gegevens-onderzoek</t>
  </si>
  <si>
    <t>=Meting</t>
  </si>
  <si>
    <t>∆ (Risico ("Empirisch") - Risico("Praktisch"))</t>
  </si>
  <si>
    <t>=Faal-gevolgen</t>
  </si>
  <si>
    <t>N.b.: de faalkans beoordeling beoogt de werkelijk aanwezige faalkans realistisch weer te geven.</t>
  </si>
  <si>
    <t>Toelichting op het schema:</t>
  </si>
  <si>
    <t>A-priori kan gezien worden als "Empirisch" of "verwacht".</t>
  </si>
  <si>
    <t>A-posteriori kan gezien worden als "Praktisch" of "gemeten".</t>
  </si>
  <si>
    <t>Inwatering onder bepaalde weersomstandigheden</t>
  </si>
  <si>
    <t>Er is een acuut gevaar voor de integriteit.</t>
  </si>
  <si>
    <t>Concreet:</t>
  </si>
  <si>
    <t>Hoofdvraag is daarmee: in welke mate is de isolatie in staat om inlek/inwateren te voorkomen; lekdicht = géén inwatering.</t>
  </si>
  <si>
    <t>Mineral Fiber</t>
  </si>
  <si>
    <t>Calcium silicate</t>
  </si>
  <si>
    <t>Cellular glass</t>
  </si>
  <si>
    <t>Ceramic fiber paper</t>
  </si>
  <si>
    <t>Glass rope insulation</t>
  </si>
  <si>
    <t>Self-setting cement</t>
  </si>
  <si>
    <t>Flexible reusable insulation cover mattresses</t>
  </si>
  <si>
    <t>Preformed rigid polyurethane foam (polyurethane-polyisocynaurate)</t>
  </si>
  <si>
    <t>Flexible elastomeric foam</t>
  </si>
  <si>
    <t>Flexible elastomeric foam (EPDM)</t>
  </si>
  <si>
    <t>Polyethylene</t>
  </si>
  <si>
    <t>Perlite</t>
  </si>
  <si>
    <t>Vermiculite</t>
  </si>
  <si>
    <t>Types isolatie materiaal (overzicht uit de EFC 55):</t>
  </si>
  <si>
    <t>Low density glass fiber</t>
  </si>
  <si>
    <t>Types cladding/jacketing (overzicht uit de EFC 55):</t>
  </si>
  <si>
    <t xml:space="preserve"> Metallic cladding materials</t>
  </si>
  <si>
    <t xml:space="preserve"> Aluminized steel sheeting</t>
  </si>
  <si>
    <t xml:space="preserve"> Aluminum-zinc coated sheeting</t>
  </si>
  <si>
    <t xml:space="preserve"> Galvanized steel sheeting</t>
  </si>
  <si>
    <t xml:space="preserve"> Stainless steel jacketing</t>
  </si>
  <si>
    <t xml:space="preserve"> Aluminum sheeting</t>
  </si>
  <si>
    <t xml:space="preserve"> Nonmetallic materials</t>
  </si>
  <si>
    <t>UV-cured, fiber-reinforced materials</t>
  </si>
  <si>
    <t>Chlorosulfonated polyethylene</t>
  </si>
  <si>
    <t>Direct onderzoek van de resterende integriteit is noodzakelijk.</t>
  </si>
  <si>
    <t>Nieuwbouw kwaliteit zonder inwatering.</t>
  </si>
  <si>
    <t>Niet vervormd, geen inwatering.</t>
  </si>
  <si>
    <t>Vervormd, geen inwatering.</t>
  </si>
  <si>
    <t>Inwatering valt NIET uit te sluiten.</t>
  </si>
  <si>
    <t>Gebruikt, beperkte afwijking zonder gevolgen voor het voorkomen van inwateren.</t>
  </si>
  <si>
    <t>Als 2, met afwijking die tot inwatering kan leiden.</t>
  </si>
  <si>
    <t>Als 3, mét afwijking welke inwatering mogelijk maakt waardoor het plannen van een aktie noodzakelijk is.</t>
  </si>
  <si>
    <t>Als 5 mét dermate inwatering &amp; schadevorming dat lekkage van stoom en/of product naar buiten lekt.</t>
  </si>
  <si>
    <t>Als 4, mét dusdanige hoeveelheid inwatering dat binnen 1 jaar ingrijpen noodzakelijk is.</t>
  </si>
  <si>
    <t>Uitgangspunten.</t>
  </si>
  <si>
    <t>Dit werkblad bevat de uitgangspunten voor het corrosiemodel wat is ontwikkeld ten behoeve van het WCM-project "Corrosie Onder Isolatie."</t>
  </si>
  <si>
    <t>Bij de uitwerking van dit model is gebruik gemaakt van informatie zoals de EFC 55 én eigen ervaring van de deelnemers vanuit de industriële corrosie praktijk.</t>
  </si>
  <si>
    <t>De door de teamleden bij de uitwerking van het model toegepaste vertrekpunten zijn:</t>
  </si>
  <si>
    <t>• Er wordt uitgegaan van een "reasonable worst case" verwachtingspatroon.</t>
  </si>
  <si>
    <t>• Vanuit de literatuur (zie referenties) aangereikte en toegepaste gegevens worden met gezonde scepcis bekeken (beperken van het risico op prestatie vertekening door "product marketing")</t>
  </si>
  <si>
    <t>• Het toe te passen model dient ruimte te geven om te verscherpen daar waar dat op basis van in de praktijk geconstateerde prestaties mogelijk is.</t>
  </si>
  <si>
    <t>• Er wordt waar mogelijk gebruik gemaakt van gangbare definities om invloedsfactoren te karakteriseren.</t>
  </si>
  <si>
    <t>Dit heeft geleid tot de volgende perceptie op het corrosie onder isolatie proces:</t>
  </si>
  <si>
    <t>Het corrosie proces vereist de combinatie van medium, temperatuur en blootgesteld materiaal.</t>
  </si>
  <si>
    <t>Een cyclische bevochtiging leidt tot indikken van in het vocht aanwezige verontreiniging, wat het corrosieproces versterkt.</t>
  </si>
  <si>
    <t>Wisselende temperaturen leidt tot uitzetting en krimpen van lucht onder de isolatie (ideale gasweg) waarmee isolatie per saldo "ademt".</t>
  </si>
  <si>
    <t>Als procestemperaturen beneden de omgevings temperatuur liggen, leidt dit bij hoge relatieve luchtvochtigheid tot condensatie onder de isolatie (ook al is de isolatie "dicht")</t>
  </si>
  <si>
    <t>Een proces met cyclisch wisselende temperaturen en dergelijke condities, geldt daarom als "wetted service", wat betekent dat de isolatie wordt beschouwd als "lek" (conditie klasse 5).</t>
  </si>
  <si>
    <t>Deze factoren worden in de beschikbare literatuur, die soms nogal gedateerd is, onvoldoende benoemd, waardoor een vernieuwende uitwerking nodig is.</t>
  </si>
  <si>
    <t>De invloed van de omgeving op het corrosieproces:</t>
  </si>
  <si>
    <t>Op basis van praktijkervaring zijn corrosiviteits klassen ontwikkeld (ISO 12944), die een maat zijn voor de agressiviteit van het vocht in de lucht.</t>
  </si>
  <si>
    <t>Factoren als zoutgehalte, SO₂, O₃ en de hoeveelheid van andere in vocht aanwezige stoffen (TSP) zijn daarin verwerkt.</t>
  </si>
  <si>
    <t>De omschrijving van zo'n factor is hieronder in het model weergegeven dmv een opmerking bij het veld [Zout risicomatrix])</t>
  </si>
  <si>
    <t>De invloed van het soort isolatie materiaal op het corrosieproces:</t>
  </si>
  <si>
    <t>Op grond van literatuurgegevens en praktijkervaring wordt ervan uit gegaan dat bepaalde types isolatie tot een mindere mate van bevochting leiden.</t>
  </si>
  <si>
    <t>Dit als gevolg van het effect van (a) beperkte vocht absorbtie en (b) de snelheid waarmee de isolatie uit kan drogen.</t>
  </si>
  <si>
    <t>Er wordt onderkend dat isolatiebeplating als vochtopvang kan functioneren ("moisture scavenging") wat de corrosie reductie tot op zekere hoogte teniet kan doen.</t>
  </si>
  <si>
    <t>Op grond van de bovenstaande gegevens wordt er van uitgegaan dat de resultante daarvan een reductiefactor ten opzichte van de meest ongunstige corrosiewaarde oplevert.</t>
  </si>
  <si>
    <t>De reductiefactoren die genomen zijn vormen een conservatieve "engineering estimate" die op termijn middels praktijk onderzoek kunnen worden bijgesteld.</t>
  </si>
  <si>
    <t>De weergegeven corrosiesnelheden zijn de vanuit de ervaring maximaal te verwachten waarden, die kunnen optreden bij gebruik van gebruikelijke minerale wol.</t>
  </si>
  <si>
    <t>De invloed van de toegepaste coating op het corrosieproces:</t>
  </si>
  <si>
    <t>Afhankelijk van de kwaliteit van het coating materiaal en de wijze van aanbrengen (inc. Voorbereiding &amp; drogen) genereert coating een bepaalde beschermingsduur.</t>
  </si>
  <si>
    <t>Deze beschermingsduur wordt als een resistente periode in het degradatiemodel verwerkt. Zie daarvoor het betreffende model op het tab [Coating].</t>
  </si>
  <si>
    <t>Uitwerking:</t>
  </si>
  <si>
    <t>De model-gegevens zijn in formule-vorm verwerkt.</t>
  </si>
  <si>
    <t>Met dit model is voor geïsoleerd koolstof staal, wat in een bepaalde toepassing wordt gebruikt, de corrosiesnelheid te bepalen.</t>
  </si>
  <si>
    <t>Al naar gelang op termijn inzicht is gekregen met nieuwe materialen en uitgebreidere praktijkervaring, is het model te updaten.</t>
  </si>
  <si>
    <t>Definities:</t>
  </si>
  <si>
    <t>De definities voor gehanteerde termen zijn ofwel als opmerking bij die term verwerkt of deze wordt zichtbaar door de cel te activeren (bijv. [C42]) waarin de term wordt gehanteerd.</t>
  </si>
  <si>
    <t>Model berekening:</t>
  </si>
  <si>
    <t>Aantal nat-droog cycli:</t>
  </si>
  <si>
    <t>Zout-risico:</t>
  </si>
  <si>
    <t>Isolatie materiaal:</t>
  </si>
  <si>
    <t xml:space="preserve">Pyrogel XT over mineral wool </t>
  </si>
  <si>
    <t>Ja</t>
  </si>
  <si>
    <t>[Zout]</t>
  </si>
  <si>
    <t>C1-2</t>
  </si>
  <si>
    <t>C3</t>
  </si>
  <si>
    <t>Referenties:</t>
  </si>
  <si>
    <t>EFC 55; European Federation of Corrosion Publications Number 55; Corrosion-Under-Insulation (CUI) Guidelines; S. Winnik, Woodhead publishing. ISBN: 978-0-08-100714-3 (print)</t>
  </si>
  <si>
    <t>Atmospheric corrosion; M. Tullmin, P.R. Roberge; Uhlig's corrosion handbook; Chapter 18; John Wiley &amp; Sons; 2nd edition (2000); Blz. 305- 321.</t>
  </si>
  <si>
    <t>The influence of insulation material on corrosion under insulation. J. Williams, O. Evans. Nace, Calgary-Canada; Feb. 2010.</t>
  </si>
  <si>
    <t>D:\STORK_PC\Geerthenk.wijnants\Stork\Projecten\WCM_CUI\Literatuur\350962295-Williams-Evans-CUI-Paper-NACE-Calgary-2010(!).pdf</t>
  </si>
  <si>
    <t>Reductie corr.rate obv stimulatiefactor:</t>
  </si>
  <si>
    <t>Isolatie materialen:</t>
  </si>
  <si>
    <t>Stimulatiefactor; effect op corrosiegedrag:</t>
  </si>
  <si>
    <t>Exp. Corr. Damage.</t>
  </si>
  <si>
    <t>De weergegeven factoren zijn "engineering estimates".
Deze bevatten correcties voor mogelijke vertekening door aanwezige beperkingen in literatuur referenties.</t>
  </si>
  <si>
    <t>Deze tabel is ingevuld op basis van een eigen interpretatie van de in de bron gerapporteerde resulaten.</t>
  </si>
  <si>
    <t>Expanded perlite</t>
  </si>
  <si>
    <t>Geen data beschikbaar.</t>
  </si>
  <si>
    <t>Pyrogel XT</t>
  </si>
  <si>
    <t>WRG mineral wool</t>
  </si>
  <si>
    <t>Mineral wool</t>
  </si>
  <si>
    <t>1= inhibiterend ; 5 = stimulerend.</t>
  </si>
  <si>
    <t>Hieronder gegevens uit relevante bronnen:</t>
  </si>
  <si>
    <t>&gt; 175</t>
  </si>
  <si>
    <t>&lt; -4</t>
  </si>
  <si>
    <t>ISO 12944</t>
  </si>
  <si>
    <t>Waarde</t>
  </si>
  <si>
    <t>Omschrijving:</t>
  </si>
  <si>
    <t>C1</t>
  </si>
  <si>
    <t>Zeer laag</t>
  </si>
  <si>
    <t>Verwarmde gebouwen met schone atmosfeer, als kantoren, scholen enz.</t>
  </si>
  <si>
    <t>C2</t>
  </si>
  <si>
    <t>Laag</t>
  </si>
  <si>
    <t>Atmosfeer met Iaag milieuvervuilingsniveau, Iandelijk gebied.</t>
  </si>
  <si>
    <t>Gematigd</t>
  </si>
  <si>
    <r>
      <rPr>
        <u/>
        <sz val="10"/>
        <color theme="1"/>
        <rFont val="Trebuchet MS"/>
        <family val="2"/>
      </rPr>
      <t>Buiten:</t>
    </r>
    <r>
      <rPr>
        <sz val="10"/>
        <color theme="1"/>
        <rFont val="Trebuchet MS"/>
        <family val="2"/>
      </rPr>
      <t xml:space="preserve"> Stedelijke en industriële atmosferen, gematigde zwaveldioxide vervuiling.
Kust gebieden met een Iaag zoutgehalte.
</t>
    </r>
    <r>
      <rPr>
        <u/>
        <sz val="10"/>
        <color theme="1"/>
        <rFont val="Trebuchet MS"/>
        <family val="2"/>
      </rPr>
      <t>Binnen:</t>
    </r>
    <r>
      <rPr>
        <sz val="10"/>
        <color theme="1"/>
        <rFont val="Trebuchet MS"/>
        <family val="2"/>
      </rPr>
      <t xml:space="preserve"> productiehallen met hoge Iuchtvochtigheid en enige Iuchtvervuiling.</t>
    </r>
  </si>
  <si>
    <t>C4</t>
  </si>
  <si>
    <t>Hoog</t>
  </si>
  <si>
    <r>
      <t xml:space="preserve">Sterk corrosief, geldt voor alle niet geïsoIeerde objecten.
</t>
    </r>
    <r>
      <rPr>
        <u/>
        <sz val="10"/>
        <color theme="1"/>
        <rFont val="Trebuchet MS"/>
        <family val="2"/>
      </rPr>
      <t>Buiten:</t>
    </r>
    <r>
      <rPr>
        <sz val="10"/>
        <color theme="1"/>
        <rFont val="Trebuchet MS"/>
        <family val="2"/>
      </rPr>
      <t xml:space="preserve"> lndustriële en kustgebieden met gematigd zoutklimaat.
</t>
    </r>
    <r>
      <rPr>
        <u/>
        <sz val="10"/>
        <color theme="1"/>
        <rFont val="Trebuchet MS"/>
        <family val="2"/>
      </rPr>
      <t>Binnen:</t>
    </r>
    <r>
      <rPr>
        <sz val="10"/>
        <color theme="1"/>
        <rFont val="Trebuchet MS"/>
        <family val="2"/>
      </rPr>
      <t xml:space="preserve"> Chemische fabrieken en zwembaden.</t>
    </r>
  </si>
  <si>
    <t>Zeer hoog</t>
  </si>
  <si>
    <r>
      <t xml:space="preserve">Zeer corrosief, geldt voor geïsoleerde objecten en voor ongeisoIeerde objecten met bijkomende belastingen, zoals verhoogde concentratie van zure dampen, nevels van koeltorens, morsen van chemicaliën, montage werkzaamheden enz.
</t>
    </r>
    <r>
      <rPr>
        <u/>
        <sz val="10"/>
        <color theme="1"/>
        <rFont val="Trebuchet MS"/>
        <family val="2"/>
      </rPr>
      <t>Buiten:</t>
    </r>
    <r>
      <rPr>
        <sz val="10"/>
        <color theme="1"/>
        <rFont val="Trebuchet MS"/>
        <family val="2"/>
      </rPr>
      <t xml:space="preserve"> lndustriële gebieden met hoge vochtigheid en een agressieve atmosfeer.
</t>
    </r>
    <r>
      <rPr>
        <u/>
        <sz val="10"/>
        <color theme="1"/>
        <rFont val="Trebuchet MS"/>
        <family val="2"/>
      </rPr>
      <t>Binnen:</t>
    </r>
    <r>
      <rPr>
        <sz val="10"/>
        <color theme="1"/>
        <rFont val="Trebuchet MS"/>
        <family val="2"/>
      </rPr>
      <t xml:space="preserve"> Gebouwen en gebieden met een bijna permanente condensatie en hoge vervuiling.</t>
    </r>
  </si>
  <si>
    <t>Merk op dat in de CINI 1.2.04 (2016) de volgende grenzen worden gehanteerd: -5ºC;50ºC;175ºC;600ºC (C-staal) en 50ºC-175ºC voor RVS.</t>
  </si>
  <si>
    <t>Per saldo ook doelmatigheids beoordeling….BP-6.</t>
  </si>
  <si>
    <t>Voor betekenis van termen, ga in een cel staan.</t>
  </si>
  <si>
    <t>Dit werkblad bevat een aangepaste versie van de risicomatrix vanuit de NEN-EN 16991.
Deze opzet is door de werkgroep CUI gevalideerd (bijeenkomst van 8Maart19).</t>
  </si>
  <si>
    <t>De faalkans is daarbij leidend aangezien op het moment van verwacht falen de faalkans toeneemt tot 1, wat gangbaar wordt voorkomen door reparatie / vervanging.</t>
  </si>
  <si>
    <t xml:space="preserve">
</t>
  </si>
  <si>
    <t>Kosten (Bronnen: zie Ref.):</t>
  </si>
  <si>
    <t>Werkwijze:</t>
  </si>
  <si>
    <t>Een techniek heeft een bepaalde kans om schade te detecteren.
Na beoordeling volgt, als daar aanleiding voor is, een 2-de beoordeling waarbij middels wanddiktemetingen de toestand wordt beoordeeld.
De betrouwbaarheid van die (follow-up)beoordeling wordt hier niet meegenomen aangezien in dát geval de isolatie lokaal al is verwijderd; de effectiviteit om "door de isolatie heen te kijken" is dan al niet meer aan de orde.</t>
  </si>
  <si>
    <t>Typical:</t>
  </si>
  <si>
    <t>Opmerking (mbt typical voor techniek):</t>
  </si>
  <si>
    <r>
      <t xml:space="preserve">1): middels corrosieproduct op support (verondersteld </t>
    </r>
    <r>
      <rPr>
        <sz val="10"/>
        <color theme="1"/>
        <rFont val="Wingdings 3"/>
        <family val="1"/>
        <charset val="2"/>
      </rPr>
      <t>Ó</t>
    </r>
    <r>
      <rPr>
        <sz val="10"/>
        <color theme="1"/>
        <rFont val="Trebuchet MS"/>
        <family val="2"/>
      </rPr>
      <t>)</t>
    </r>
  </si>
  <si>
    <t>Opmerking (m.b.t. techniek in relatie tot typical(s))</t>
  </si>
  <si>
    <t>Faalcriterium:</t>
  </si>
  <si>
    <t>Het behalen van de minimaal toelaatbare wanddikte, waardoor een kans op perforatie en mogelijk een catastrofale breuk ontstaat.</t>
  </si>
  <si>
    <t>Afhankelijk van het soort van proces, variëren dan de gevolgen.</t>
  </si>
  <si>
    <t>In hoeverre de met een techniek te behalen risicoreductie van voldoende is, zal in de specifieke bedrijfssituatie dan bekeken moeten worden.</t>
  </si>
  <si>
    <t>Uitgangspunten qua dekking:</t>
  </si>
  <si>
    <t>Voor de dekking van het oppervlak bij toepassing van een techniek, wordt uitgegaan van 100% visuele inspectie ter bepaling van "hot spots"(risicoplaatsen), met daarnaast in geval van de volgende effectiviteits categorieën:
Het volgende percentage dekking van de hot-spots:
Cat.A: 100%; B: &gt;65%; C: &gt;35%; D: &gt; 5%.</t>
  </si>
  <si>
    <t>DDR = "Direct Digital Recording", dus met inzet digitale techniek.</t>
  </si>
  <si>
    <t>C is "Contour", dus met inzet van een scan rondom.</t>
  </si>
  <si>
    <t>RT is "Radiographic Technique", dus met gebruik van een stralingsbron.</t>
  </si>
  <si>
    <t>?? "met of zonder uitpakken"; maakt toch een groot verschil?</t>
  </si>
  <si>
    <t>Uitgangspunt:</t>
  </si>
  <si>
    <t>Op moment T is sprake van een dusdanig gebruiksduur, dat in de gegeven omstandigheden de conditie van de geïsoleerde component door corrosie dusdanig aangetast zou kunnen zijn, dat falen ophanden is danwel "normatief falen" als is opgetreden (er wordt niet meer aan de minimum wanddikte eis voldaan).</t>
  </si>
  <si>
    <t>Wat is dan de reductie in die PoF met een gehanteerde techniek?</t>
  </si>
  <si>
    <t>NDO Techniek:</t>
  </si>
  <si>
    <t>Reductiefactor voor de faalkans:</t>
  </si>
  <si>
    <t>&gt;&gt; Dit betreft één bemeten locatie.</t>
  </si>
  <si>
    <t>Toegepaste mate van dekking (%  "hot spots") gemeten:</t>
  </si>
  <si>
    <t>Aanname: afwijking is toelaatbaar (anders is die sowieso "niet goed")</t>
  </si>
  <si>
    <t>Referentie tabel:</t>
  </si>
  <si>
    <t>Eff. klasse:</t>
  </si>
  <si>
    <t>Red.factor:</t>
  </si>
  <si>
    <t>Dekking:</t>
  </si>
  <si>
    <t>Techniek: (Details zie API 581 Annex 2-C)</t>
  </si>
  <si>
    <t>API RP 583 - Corrosion Under Insulation and Fireproofing; 1st edition, May 2014.</t>
  </si>
  <si>
    <t>API RP 581 - Risk Based Inspection Methodology; 3rd edition (2016). Part 2, chapter 16. Corrosion Under Insulation Damage Factor.</t>
  </si>
  <si>
    <t>11) 	Neuron Backscatter (tbv vochtdetectie)</t>
  </si>
  <si>
    <t>Consequence of Failure / Severity</t>
  </si>
  <si>
    <r>
      <t xml:space="preserve">Betreft schade-detectie.
</t>
    </r>
    <r>
      <rPr>
        <sz val="10"/>
        <color rgb="FFFF0000"/>
        <rFont val="Trebuchet MS"/>
        <family val="2"/>
      </rPr>
      <t>Effectiviteitsscore voor vochtdetectie nader te bepalen (ntb).</t>
    </r>
  </si>
  <si>
    <t>Kans op "afwijking" terwijl er géén afwijking aanwezig is:</t>
  </si>
  <si>
    <t>Skin temperatuur:</t>
  </si>
  <si>
    <t>Moment van ingebruikname "als nieuw" (kan veel later zijn dan bouwdatum van de gehele installatie).</t>
  </si>
  <si>
    <t>Conditie isolatie:</t>
  </si>
  <si>
    <t>De typical (zie tab [NDT Effectiviteti]) waarmee de component is te omschrijven.</t>
  </si>
  <si>
    <t>&lt;&lt; de toegepaste techniek, waarmee de conditie wordt onderzocht, met de vereiste dekking (zie tab [NDT Effectiviteit]).</t>
  </si>
  <si>
    <t>Optie #:</t>
  </si>
  <si>
    <t>Product</t>
  </si>
  <si>
    <t>Effect</t>
  </si>
  <si>
    <t>Ontwerp</t>
  </si>
  <si>
    <t>Proces&amp;mens+uitvoering</t>
  </si>
  <si>
    <r>
      <t>Getest (</t>
    </r>
    <r>
      <rPr>
        <sz val="10"/>
        <color rgb="FFFF0000"/>
        <rFont val="Arial"/>
        <family val="2"/>
      </rPr>
      <t xml:space="preserve">= voldoende tolerant)* </t>
    </r>
    <r>
      <rPr>
        <sz val="10"/>
        <color rgb="FF000000"/>
        <rFont val="Arial"/>
        <family val="2"/>
      </rPr>
      <t>en &gt;10 jaar ervaring</t>
    </r>
  </si>
  <si>
    <t>Complete uitvoering en voldoende onderhoud</t>
  </si>
  <si>
    <t>Goed plan; voldoende expertise</t>
  </si>
  <si>
    <t>Conserveerbaarheid is op 50% van het object moeilijk
Bijv. Liften bij oplegpunten.</t>
  </si>
  <si>
    <t>Goed plan; onvoldoende expertise</t>
  </si>
  <si>
    <t>Voldoende uitvoering en onvoldoende onderhoud</t>
  </si>
  <si>
    <t>0,9 (oude generatie coatings)</t>
  </si>
  <si>
    <t>Plaatselijk niet te raken.</t>
  </si>
  <si>
    <t>0,5 ?(huidige generatie)</t>
  </si>
  <si>
    <t>Onvolledig getest maar geen ervaring</t>
  </si>
  <si>
    <t>Conserveerbaarheid is op &gt;80% van het object moeilijk</t>
  </si>
  <si>
    <t>Onvoldoende plan; voldoende expertise</t>
  </si>
  <si>
    <t>Onvoldoende uitvoering, voldoende onderhoud</t>
  </si>
  <si>
    <t>Nieuwe systemen</t>
  </si>
  <si>
    <t xml:space="preserve">Bijv. Liften bij oplegpunten. </t>
  </si>
  <si>
    <t>Deels getest en geen ervaring</t>
  </si>
  <si>
    <t>Onvoldoende plan; onvoldoende expertise</t>
  </si>
  <si>
    <t>Onvoldoende uitvoering, onvoldoende onderhoud</t>
  </si>
  <si>
    <t>Bereikbaarheid, toegankelijkheid is zodanig dat optimaal kan worden geconserveerd</t>
  </si>
  <si>
    <t>Conserveerbaarheid object conform ISO 12944-3 en getoetst door coatingsdeskundige.</t>
  </si>
  <si>
    <t>100% doordacht en haalbaar proces. Getoetst door coatingsdeskundige</t>
  </si>
  <si>
    <r>
      <t>Volledig getest en</t>
    </r>
    <r>
      <rPr>
        <sz val="10"/>
        <color rgb="FFFF0000"/>
        <rFont val="Arial"/>
        <family val="2"/>
      </rPr>
      <t xml:space="preserve"> geen langdurige ervaring</t>
    </r>
  </si>
  <si>
    <t>Keuze:</t>
  </si>
  <si>
    <t>Score:</t>
  </si>
  <si>
    <t>Getest; bewezen</t>
  </si>
  <si>
    <t>Getest; onbewezen</t>
  </si>
  <si>
    <t>Onvolledig getest</t>
  </si>
  <si>
    <t>Recent</t>
  </si>
  <si>
    <t>Oud</t>
  </si>
  <si>
    <t>Nieuwe generatie heeft langere levensduur.</t>
  </si>
  <si>
    <t>Compleet</t>
  </si>
  <si>
    <t>&gt; 50% moeilijk</t>
  </si>
  <si>
    <t>&gt; 80% moeilijk</t>
  </si>
  <si>
    <t>Goed plan; Onvoldoende expertise</t>
  </si>
  <si>
    <t>Plan en expertise onvoldoende</t>
  </si>
  <si>
    <t>Isolatie</t>
  </si>
  <si>
    <t>Complete uitvoering en onderhoud</t>
  </si>
  <si>
    <t>Uitvoering én onderhoud onvoldoende</t>
  </si>
  <si>
    <t>Referentie levensduur:</t>
  </si>
  <si>
    <t>Beoordelings aspect:</t>
  </si>
  <si>
    <t>Score afhankelijk van optie:</t>
  </si>
  <si>
    <r>
      <t>Optie die van toepassing is</t>
    </r>
    <r>
      <rPr>
        <sz val="10"/>
        <color theme="1"/>
        <rFont val="Trebuchet MS"/>
        <family val="2"/>
      </rPr>
      <t xml:space="preserve"> (voor toelichting zie tabel hieronder):</t>
    </r>
  </si>
  <si>
    <t>Tabel Coating beschermingsduur; uitwerking door projectgroep coatings.</t>
  </si>
  <si>
    <t>Deze uitwerking in termen van latentie periode (beschermingsduur) en reductie mate van bescherming (door zwaardere vochtbelasting).</t>
  </si>
  <si>
    <t>Op dit moment is dit in het conceptuele model verwerkt door middel van een latentieperiode.</t>
  </si>
  <si>
    <t>Dit werkblad bevat de toe te passen corrosiesnelheden, uitgewerkt in formulevorm die als voorbeeld geldt.
Voor alle materiaal en coating combinaties, wordt de corrosiesnelheid die hoort bij een bepaalde temperatuur/coating/gebruiksomstandigheden/ conditie, uitgerekend.
De gegevens combinatie die daarbij van toepassing is, wordt op tab [Installatie] vastgesteld.
De corrosiesnelheid  die van toepassing is, wordt op termijn door middel van een formule uitgewerkt.
Dit betekent dat in geval er discrete waarden voor een bepaald temperatuurgebied zijn aangegeven, dat dáár dan een formule voor uitgewerkt is.
Dit kan op twee manieren:
- een discrete waarde die voor een bepaald temperatuurgebied wordt toegepast (bijv. 0,1 tussen 20 en 30 graden)
- een formule die (op basis van een overkoepelende grafiek) die de waarden beschrijft én extrapoleert. Deze staat dan in bovenstaande tabel onder "Actief".
Wat de beste weergave is, is door de corrosie specialisten vastgesteld.</t>
  </si>
  <si>
    <r>
      <t>Sectie "beheer" voor de invloedsfactoren vanuit de operationele situatie</t>
    </r>
    <r>
      <rPr>
        <sz val="8"/>
        <color theme="1"/>
        <rFont val="Trebuchet MS"/>
        <family val="2"/>
      </rPr>
      <t xml:space="preserve"> (mag on-ingevuld blijven in geval factoren onbekend zijn)</t>
    </r>
    <r>
      <rPr>
        <sz val="10"/>
        <color theme="1"/>
        <rFont val="Trebuchet MS"/>
        <family val="2"/>
      </rPr>
      <t>.</t>
    </r>
  </si>
  <si>
    <t>Generatie coating:</t>
  </si>
  <si>
    <t>Ontwerp:</t>
  </si>
  <si>
    <t>Betreft de mogelijkheid om de coating als beschermingsfactor toe te kunnen passen.</t>
  </si>
  <si>
    <t>Proces &amp; Mens:</t>
  </si>
  <si>
    <t>Resultaat v.w.b. coating levensduur:</t>
  </si>
  <si>
    <t>De tijdsduur gedurende welke de coating naar verwachting bescherming biedt in de gegeven omstandigheden.</t>
  </si>
  <si>
    <t>Onderstaand is de uitwerking weergegeven van de werkgroep Coatings.</t>
  </si>
  <si>
    <t>Structuur voor verwerking van de ineffectiviteit (False calls &amp; Fail2Detect) is aangebracht en niet uitgewerkt.</t>
  </si>
  <si>
    <t>Referentie beoordeling van coating levensduren</t>
  </si>
  <si>
    <t>Middel</t>
  </si>
  <si>
    <t>Coating levensduur klasse:</t>
  </si>
  <si>
    <t>Snelheid vlgs [CorrosieModel].</t>
  </si>
  <si>
    <t>Als 1 met latentietijd door coating.</t>
  </si>
  <si>
    <t>Als 1 met latentietijd door TSA.</t>
  </si>
  <si>
    <r>
      <t xml:space="preserve">Onderstaand gedeelte is ter voorbereiding op de toepassing van meerdere materialen; </t>
    </r>
    <r>
      <rPr>
        <sz val="10"/>
        <color rgb="FFFF0000"/>
        <rFont val="Trebuchet MS"/>
        <family val="2"/>
      </rPr>
      <t>dit gedeelte staat nu op "in bewerking".</t>
    </r>
  </si>
  <si>
    <t>Risc based inspectie interval:</t>
  </si>
  <si>
    <t>&lt; Faalkans klasse volgens de risicotabel [NEN-EN 16991].</t>
  </si>
  <si>
    <r>
      <rPr>
        <sz val="10"/>
        <color theme="1"/>
        <rFont val="Wingdings"/>
        <charset val="2"/>
      </rPr>
      <t>ñ</t>
    </r>
    <r>
      <rPr>
        <sz val="8.5"/>
        <color theme="1"/>
        <rFont val="Trebuchet MS"/>
        <family val="2"/>
      </rPr>
      <t xml:space="preserve"> </t>
    </r>
    <r>
      <rPr>
        <sz val="10"/>
        <color theme="1"/>
        <rFont val="Trebuchet MS"/>
        <family val="2"/>
      </rPr>
      <t>Inspectie interval correctie factor. Afhankelijk van gevolgen.</t>
    </r>
  </si>
  <si>
    <t>CorrosieModel</t>
  </si>
  <si>
    <t>Overgenomen van #3 voor TSA</t>
  </si>
  <si>
    <t>&lt; Inspectie termijn volgens de risicotabel [NEN-EN 16991] en wettelijke regeling uit het PrdA referentie instrument.</t>
  </si>
  <si>
    <t>&lt;&lt; Risico op dit moment in €'s, zónder toepassing van beheersmaatregelen. Bij Kans klasse 6 faalt de installatie normatief.</t>
  </si>
  <si>
    <t>Corrosie:</t>
  </si>
  <si>
    <t>Onacceptabel risico; herontwerp noodzakelijk.</t>
  </si>
  <si>
    <t>RVS</t>
  </si>
  <si>
    <t>RVS; gecoat</t>
  </si>
  <si>
    <t>SAO</t>
  </si>
  <si>
    <t>RVS; anders</t>
  </si>
  <si>
    <t>RVS 304/316 (L)</t>
  </si>
  <si>
    <t>De isolatie-conditie is altijd relevant, ongeacht het aantal nat-droog cycli.</t>
  </si>
  <si>
    <t>Ga in deze cel staan voor toelichting op SAO.</t>
  </si>
  <si>
    <t>In geval van RVS (304/316):</t>
  </si>
  <si>
    <t>Maatwerk; te bepalen voor ieder type afzonderlijk (bijv. 904L en 2205).</t>
  </si>
  <si>
    <t>Betreft 304, 316, 304 L en 316 L.</t>
  </si>
  <si>
    <t>ð  ð  ð  ð  ð</t>
  </si>
  <si>
    <t>In geval van een coating, moet zowel de conditie van het beschermingssysteem als de conditie van het RVS worden vervolgd om een duidelijke trend vast te stellen (Tijd gerelateerd, afhankelijk levensduur coating).</t>
  </si>
  <si>
    <t>Als 4 met latentietijd door coating.</t>
  </si>
  <si>
    <t>Afhankelijk van procestemperatuur, proces type en constructie / dimensioneringen in ontwerp (bijv. heat-coils).</t>
  </si>
  <si>
    <t>0; Nieuw</t>
  </si>
  <si>
    <t>(*): de waardering is sterk afhankelijk van het type support</t>
  </si>
  <si>
    <t>Aftakkingen op leidingen &gt; DN250 en op vatwanden</t>
  </si>
  <si>
    <t>Aftakkingen op leidingen ≤  DN250</t>
  </si>
  <si>
    <t>Brandwerende bekleding in het algemeen</t>
  </si>
  <si>
    <t>Oplegging/Ondersteuning (*)</t>
  </si>
  <si>
    <t>Rechte leidingen &gt; DN250 en vatwanden</t>
  </si>
  <si>
    <t>Rechte leidingen ≤ DN250</t>
  </si>
  <si>
    <t>2) On stream RT (Film)</t>
  </si>
  <si>
    <t>4) Profile radiografie</t>
  </si>
  <si>
    <t>5) Guided Waves / Long Range UT</t>
  </si>
  <si>
    <t>7) In-line inspection (intelligent pigging)</t>
  </si>
  <si>
    <t>3) On streamRT (digitaal)</t>
  </si>
  <si>
    <t>6) PEC / PEC Array</t>
  </si>
  <si>
    <t>8) Ultrasone wanddikte meting</t>
  </si>
  <si>
    <t>9) UT C-scan mapping</t>
  </si>
  <si>
    <t>10) Thermografie</t>
  </si>
  <si>
    <r>
      <t xml:space="preserve">Score betreft SCHADE-detectie.
</t>
    </r>
    <r>
      <rPr>
        <sz val="10"/>
        <color rgb="FFFF0000"/>
        <rFont val="Trebuchet MS"/>
        <family val="2"/>
      </rPr>
      <t>Effectiviteitsscore voor vochtdetectie (!preventief!) ntb.</t>
    </r>
  </si>
  <si>
    <t>1) Visuele inspectie met uitpakken.</t>
  </si>
  <si>
    <t>( afhankelijk van andere invoer)</t>
  </si>
  <si>
    <t>Gegevensinvoer niet nodig:</t>
  </si>
  <si>
    <t>Type:</t>
  </si>
  <si>
    <t>Coating</t>
  </si>
  <si>
    <t>Proces&amp;Mens:</t>
  </si>
  <si>
    <t>Levensduur klasse:</t>
  </si>
  <si>
    <t>TSA levensduur factor:</t>
  </si>
  <si>
    <t>Samenvatting van de verkregen resultaten:</t>
  </si>
  <si>
    <t>(betreft herhaling van de hierboven weergegeven informatie)</t>
  </si>
  <si>
    <t>Kostenniveau:</t>
  </si>
  <si>
    <t>Faalkans:</t>
  </si>
  <si>
    <t>Risico:</t>
  </si>
  <si>
    <t>Inspectie interval:</t>
  </si>
  <si>
    <t>&lt;&lt; Inspectie termijn volgens de risicotabel [NEN-EN 16991] en wettelijke regeling uit het PrdA referentie instrument.</t>
  </si>
  <si>
    <t>Kosten reductie:</t>
  </si>
  <si>
    <t>Vooraf:</t>
  </si>
  <si>
    <t>Met inspectietechniek:</t>
  </si>
  <si>
    <t>Effect op faalkans categorie:</t>
  </si>
  <si>
    <t>Risk Based Inspectie termijn:</t>
  </si>
  <si>
    <t>Inspectie dekking:</t>
  </si>
  <si>
    <t>Effectiviteit beheersmaatregel is ingericht obv 3 niveau's/levels, met POD berekening op level III (Succescriterium NDO-C1)</t>
  </si>
  <si>
    <t>Dit werkblad bevat een uitwerking van een risico gebaseerde aanpak voor Corrosie Onder Isolatie.</t>
  </si>
  <si>
    <t>Daartoe laat het zien hoe benodigde kennis vanuit verschillende disciplines in één beheersconcept samen wordt gebracht.</t>
  </si>
  <si>
    <t>Die kennis, die in projectonderdelen is uitgewerkt, komt samen in de risk based aanpak voor CUI management.</t>
  </si>
  <si>
    <t>De uitwerkingen van die projectonderdelen zijn voor de transparantie per tab in deze tool verwerkt.</t>
  </si>
  <si>
    <t>Deze zijn tenslotte gecombineerd in één gezamenlijk tab [Installatie] waarmee voor berekeningen nog een koppeling aanwezig kan zijn.</t>
  </si>
  <si>
    <t>De tool is als ontwikkeling beschikbaar voor diegenen die de details van de aanpak willen doorgronden.</t>
  </si>
  <si>
    <t>Daarnaast functioneert de tool ook als test voor de praktijkgerichtheid van het projectresultaat.</t>
  </si>
  <si>
    <t>Het daarbij gehanteerde uitgangspunt is: "een expliciet beslisproces is in een beslismodel te vatten".</t>
  </si>
  <si>
    <r>
      <t xml:space="preserve">Uitgangspunt bij de tabel " Effect op faalkans categorie"  is vanzelfsprekend dat geconstateerde risicovolle defecten ook daadwerkelijk aangepakt worden.
De NDT techniek alléén kan het probleem natuurlijk niet verhelpen.
De stapgrootte (bijv. van 5 </t>
    </r>
    <r>
      <rPr>
        <sz val="9"/>
        <color theme="1"/>
        <rFont val="Wingdings"/>
        <charset val="2"/>
      </rPr>
      <t>ð</t>
    </r>
    <r>
      <rPr>
        <sz val="9"/>
        <color theme="1"/>
        <rFont val="Trebuchet MS"/>
        <family val="2"/>
      </rPr>
      <t>3) is beperkt doordat grote risico's de kleinere risico's afdekken.</t>
    </r>
  </si>
  <si>
    <t>&lt;&lt; de mate van dekking die nodig is bij gebruik van de techniek, om de component te onderzoeken met max. effectiviteit.</t>
  </si>
  <si>
    <t>Vereiste dekking*:</t>
  </si>
  <si>
    <t>*: In alle gevallen is bij toepassing van een techniek OOK 100% visuele inspectie van de isolatie op "verdachte plaatsen" benodigd (zie API 581(2016) Tabel C.2.10.3 ).</t>
  </si>
  <si>
    <r>
      <rPr>
        <b/>
        <sz val="10"/>
        <color rgb="FFFF0000"/>
        <rFont val="Wingdings"/>
        <charset val="2"/>
      </rPr>
      <t>ï</t>
    </r>
    <r>
      <rPr>
        <b/>
        <sz val="10"/>
        <color rgb="FFFF0000"/>
        <rFont val="Trebuchet MS"/>
        <family val="2"/>
      </rPr>
      <t xml:space="preserve">   Update 13 November 2019.</t>
    </r>
  </si>
  <si>
    <t>C5</t>
  </si>
  <si>
    <t>CX (Maritiem)</t>
  </si>
  <si>
    <t>Extreem</t>
  </si>
  <si>
    <t>NEN-EN-ISO 12944-2 (2018); Verven en vernissen, Bescherming van staalconstructies tegen corrosie door middel van beschermende verfsystemen - Deel 2; classificatie van omgevingen.</t>
  </si>
  <si>
    <t>C4-C5-CX</t>
  </si>
  <si>
    <r>
      <t xml:space="preserve">Idem als C5.
</t>
    </r>
    <r>
      <rPr>
        <u/>
        <sz val="10"/>
        <color theme="1"/>
        <rFont val="Trebuchet MS"/>
        <family val="2"/>
      </rPr>
      <t>Buiten:</t>
    </r>
    <r>
      <rPr>
        <sz val="10"/>
        <color theme="1"/>
        <rFont val="Trebuchet MS"/>
        <family val="2"/>
      </rPr>
      <t xml:space="preserve"> Kust en buitengaatse gebieden met een hoog zoutgehalte.
</t>
    </r>
    <r>
      <rPr>
        <u/>
        <sz val="10"/>
        <color theme="1"/>
        <rFont val="Trebuchet MS"/>
        <family val="2"/>
      </rPr>
      <t>Binnen:</t>
    </r>
    <r>
      <rPr>
        <sz val="10"/>
        <color theme="1"/>
        <rFont val="Trebuchet MS"/>
        <family val="2"/>
      </rPr>
      <t xml:space="preserve"> Gebouwen of gebieden met extreme vochtigheid en bijna permanente condensatie en agressieve atmosfeer.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</si>
</sst>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164" formatCode="&quot;≤ &quot;0.E+00"/>
    <numFmt numFmtId="165" formatCode="0&quot; Yr.&quot;"/>
    <numFmt numFmtId="166" formatCode="&quot;&lt; &quot;#,##0&quot; k€&quot;"/>
    <numFmt numFmtId="167" formatCode="#,##0.0"/>
    <numFmt numFmtId="168" formatCode="@&quot;:&quot;"/>
    <numFmt numFmtId="169" formatCode="&quot;Eindresultaat (gevolgen): &quot;0"/>
    <numFmt numFmtId="170" formatCode="#,##0.0&quot; k€/jr.&quot;"/>
    <numFmt numFmtId="171" formatCode="&quot;Conditie klasse &quot;0"/>
    <numFmt numFmtId="172" formatCode="0.00&quot; mm/jr.&quot;"/>
    <numFmt numFmtId="173" formatCode="0&quot; ºC.&quot;"/>
    <numFmt numFmtId="174" formatCode="0.0&quot; mm&quot;"/>
    <numFmt numFmtId="175" formatCode="0.0&quot; Jaren&quot;"/>
    <numFmt numFmtId="176" formatCode="#,##0.0&quot; Jaren&quot;"/>
    <numFmt numFmtId="177" formatCode="0.0"/>
    <numFmt numFmtId="178" formatCode="&quot;Faalkans klasse &quot;0"/>
    <numFmt numFmtId="179" formatCode="0\ &quot;jaren.&quot;"/>
    <numFmt numFmtId="180" formatCode="&quot;Cat. &quot;0"/>
    <numFmt numFmtId="181" formatCode="&quot;C&quot;0"/>
    <numFmt numFmtId="182" formatCode="&quot;C&quot;@"/>
    <numFmt numFmtId="183" formatCode="0.0_ &quot;Jaren&quot;;[Red]\-0.0\ &quot;Jaren&quot;"/>
    <numFmt numFmtId="184" formatCode="#,##0.0&quot; mm/jr.&quot;"/>
    <numFmt numFmtId="185" formatCode="&quot;&gt; &quot;#,##0&quot; k€&quot;"/>
    <numFmt numFmtId="186" formatCode="0_ &quot; °C.&quot;;[Red]\-0\ &quot; °C.&quot;"/>
    <numFmt numFmtId="187" formatCode="&quot;Kolom &quot;0"/>
    <numFmt numFmtId="188" formatCode="&quot;+ &quot;#,##0.0&quot; mm/jr.&quot;"/>
    <numFmt numFmtId="189" formatCode="&quot;Kleur: &quot;@"/>
    <numFmt numFmtId="190" formatCode="&quot;≥&quot;0_ &quot; °C.&quot;;[Red]&quot;≥&quot;\-0\ &quot; °C.&quot;"/>
    <numFmt numFmtId="191" formatCode="&quot;≥&quot;\ 0"/>
    <numFmt numFmtId="192" formatCode="&quot;+ &quot;0.0"/>
    <numFmt numFmtId="193" formatCode="#,##0_ &quot;°C.&quot;\ ;[Red]\-#,##0\ &quot;°C.&quot;"/>
    <numFmt numFmtId="194" formatCode="0&quot; Jaar&quot;"/>
    <numFmt numFmtId="195" formatCode="0&quot; Jaren&quot;"/>
    <numFmt numFmtId="196" formatCode="&quot;Factor &quot;0.0&quot; x ref. levensduur.&quot;"/>
    <numFmt numFmtId="197" formatCode="0.00&quot; Jr.&quot;"/>
    <numFmt numFmtId="198" formatCode="#,##0_ &quot;k€/jr.&quot;;[Red]\-#,##0\ &quot;k€/jr.&quot;"/>
    <numFmt numFmtId="199" formatCode="#,##0&quot; €/segment&quot;"/>
  </numFmts>
  <fonts count="60" x14ac:knownFonts="1">
    <font>
      <sz val="10"/>
      <color theme="1"/>
      <name val="Trebuchet MS"/>
      <family val="2"/>
    </font>
    <font>
      <b/>
      <sz val="10"/>
      <color theme="1"/>
      <name val="Trebuchet MS"/>
      <family val="2"/>
    </font>
    <font>
      <sz val="10"/>
      <color rgb="FF3F3F76"/>
      <name val="Trebuchet MS"/>
      <family val="2"/>
    </font>
    <font>
      <b/>
      <sz val="10"/>
      <color rgb="FF3F3F3F"/>
      <name val="Trebuchet MS"/>
      <family val="2"/>
    </font>
    <font>
      <b/>
      <sz val="10"/>
      <color theme="0"/>
      <name val="Trebuchet MS"/>
      <family val="2"/>
    </font>
    <font>
      <b/>
      <sz val="10"/>
      <color theme="1" tint="0.34998626667073579"/>
      <name val="Trebuchet MS"/>
      <family val="2"/>
    </font>
    <font>
      <b/>
      <sz val="10"/>
      <color theme="1" tint="0.249977111117893"/>
      <name val="Trebuchet MS"/>
      <family val="2"/>
    </font>
    <font>
      <b/>
      <sz val="10"/>
      <color theme="0" tint="-0.34998626667073579"/>
      <name val="Trebuchet MS"/>
      <family val="2"/>
    </font>
    <font>
      <b/>
      <sz val="10"/>
      <color theme="0" tint="-0.499984740745262"/>
      <name val="Trebuchet MS"/>
      <family val="2"/>
    </font>
    <font>
      <b/>
      <sz val="10"/>
      <color theme="1" tint="0.499984740745262"/>
      <name val="Trebuchet MS"/>
      <family val="2"/>
    </font>
    <font>
      <vertAlign val="superscript"/>
      <sz val="10"/>
      <color theme="1"/>
      <name val="Trebuchet MS"/>
      <family val="2"/>
    </font>
    <font>
      <b/>
      <sz val="12"/>
      <color theme="1"/>
      <name val="Trebuchet MS"/>
      <family val="2"/>
    </font>
    <font>
      <sz val="9"/>
      <color indexed="81"/>
      <name val="Tahoma"/>
      <family val="2"/>
    </font>
    <font>
      <b/>
      <sz val="9"/>
      <color indexed="81"/>
      <name val="Tahoma"/>
      <family val="2"/>
    </font>
    <font>
      <sz val="10"/>
      <color theme="1" tint="0.499984740745262"/>
      <name val="Trebuchet MS"/>
      <family val="2"/>
    </font>
    <font>
      <sz val="10"/>
      <color theme="0"/>
      <name val="Trebuchet MS"/>
      <family val="2"/>
    </font>
    <font>
      <b/>
      <sz val="20"/>
      <color theme="1"/>
      <name val="Trebuchet MS"/>
      <family val="2"/>
    </font>
    <font>
      <u/>
      <sz val="10"/>
      <color theme="10"/>
      <name val="Trebuchet MS"/>
      <family val="2"/>
    </font>
    <font>
      <i/>
      <sz val="10"/>
      <color theme="1"/>
      <name val="Trebuchet MS"/>
      <family val="2"/>
    </font>
    <font>
      <b/>
      <i/>
      <sz val="10"/>
      <color theme="1"/>
      <name val="Trebuchet MS"/>
      <family val="2"/>
    </font>
    <font>
      <sz val="9.5"/>
      <color theme="1"/>
      <name val="Trebuchet MS"/>
      <family val="2"/>
    </font>
    <font>
      <b/>
      <sz val="9.5"/>
      <color theme="1"/>
      <name val="Trebuchet MS"/>
      <family val="2"/>
    </font>
    <font>
      <b/>
      <sz val="9.5"/>
      <color rgb="FFFFFFFF"/>
      <name val="Trebuchet MS"/>
      <family val="2"/>
    </font>
    <font>
      <i/>
      <u/>
      <sz val="9.5"/>
      <color theme="1"/>
      <name val="Trebuchet MS"/>
      <family val="2"/>
    </font>
    <font>
      <sz val="10"/>
      <color theme="8" tint="-0.249977111117893"/>
      <name val="Trebuchet MS"/>
      <family val="2"/>
    </font>
    <font>
      <b/>
      <sz val="10"/>
      <color theme="8" tint="-0.249977111117893"/>
      <name val="Trebuchet MS"/>
      <family val="2"/>
    </font>
    <font>
      <sz val="10"/>
      <color theme="1"/>
      <name val="Calibri"/>
      <family val="2"/>
    </font>
    <font>
      <b/>
      <sz val="10"/>
      <color theme="1"/>
      <name val="Calibri"/>
      <family val="2"/>
    </font>
    <font>
      <b/>
      <sz val="9"/>
      <color theme="1"/>
      <name val="Trebuchet MS"/>
      <family val="2"/>
    </font>
    <font>
      <sz val="9"/>
      <color theme="1"/>
      <name val="Trebuchet MS"/>
      <family val="2"/>
    </font>
    <font>
      <sz val="11"/>
      <color rgb="FF000000"/>
      <name val="Calibri"/>
      <family val="2"/>
    </font>
    <font>
      <sz val="8"/>
      <color theme="1"/>
      <name val="Trebuchet MS"/>
      <family val="2"/>
    </font>
    <font>
      <sz val="9"/>
      <color indexed="12"/>
      <name val="Tahoma"/>
      <family val="2"/>
    </font>
    <font>
      <sz val="10"/>
      <color rgb="FF3F3F3F"/>
      <name val="Trebuchet MS"/>
      <family val="2"/>
    </font>
    <font>
      <sz val="6"/>
      <color theme="1"/>
      <name val="Trebuchet MS"/>
      <family val="2"/>
    </font>
    <font>
      <b/>
      <sz val="11"/>
      <color rgb="FF000000"/>
      <name val="Calibri"/>
      <family val="2"/>
    </font>
    <font>
      <u/>
      <sz val="10"/>
      <color theme="1"/>
      <name val="Trebuchet MS"/>
      <family val="2"/>
    </font>
    <font>
      <u/>
      <sz val="9"/>
      <color indexed="81"/>
      <name val="Tahoma"/>
      <family val="2"/>
    </font>
    <font>
      <sz val="10"/>
      <color theme="1" tint="0.34998626667073579"/>
      <name val="Trebuchet MS"/>
      <family val="2"/>
    </font>
    <font>
      <sz val="10"/>
      <color rgb="FFFF0000"/>
      <name val="Trebuchet MS"/>
      <family val="2"/>
    </font>
    <font>
      <sz val="10"/>
      <color theme="1"/>
      <name val="Trebuchet MS"/>
      <family val="2"/>
    </font>
    <font>
      <b/>
      <sz val="10"/>
      <color rgb="FFFF0000"/>
      <name val="Trebuchet MS"/>
      <family val="2"/>
    </font>
    <font>
      <sz val="10"/>
      <color theme="0" tint="-0.34998626667073579"/>
      <name val="Trebuchet MS"/>
      <family val="2"/>
    </font>
    <font>
      <sz val="10"/>
      <color rgb="FF000000"/>
      <name val="Trebuchet MS"/>
      <family val="2"/>
    </font>
    <font>
      <sz val="10"/>
      <color theme="1"/>
      <name val="Wingdings 3"/>
      <family val="1"/>
      <charset val="2"/>
    </font>
    <font>
      <b/>
      <sz val="10"/>
      <color rgb="FF000000"/>
      <name val="Trebuchet MS"/>
      <family val="2"/>
    </font>
    <font>
      <b/>
      <sz val="10"/>
      <color rgb="FF000000"/>
      <name val="Arial"/>
      <family val="2"/>
    </font>
    <font>
      <sz val="10"/>
      <color rgb="FF000000"/>
      <name val="Arial"/>
      <family val="2"/>
    </font>
    <font>
      <sz val="10"/>
      <color rgb="FFFF0000"/>
      <name val="Arial"/>
      <family val="2"/>
    </font>
    <font>
      <strike/>
      <sz val="10"/>
      <color rgb="FF000000"/>
      <name val="Arial"/>
      <family val="2"/>
    </font>
    <font>
      <sz val="10"/>
      <color theme="10"/>
      <name val="Trebuchet MS"/>
      <family val="2"/>
    </font>
    <font>
      <sz val="10"/>
      <color theme="1"/>
      <name val="Wingdings"/>
      <charset val="2"/>
    </font>
    <font>
      <sz val="8.5"/>
      <color theme="1"/>
      <name val="Trebuchet MS"/>
      <family val="2"/>
    </font>
    <font>
      <sz val="10"/>
      <name val="Trebuchet MS"/>
      <family val="2"/>
    </font>
    <font>
      <b/>
      <sz val="8"/>
      <color indexed="81"/>
      <name val="Tahoma"/>
      <family val="2"/>
    </font>
    <font>
      <sz val="8"/>
      <color indexed="81"/>
      <name val="Tahoma"/>
      <family val="2"/>
    </font>
    <font>
      <b/>
      <sz val="12"/>
      <color theme="0"/>
      <name val="Trebuchet MS"/>
      <family val="2"/>
    </font>
    <font>
      <b/>
      <sz val="10"/>
      <name val="Trebuchet MS"/>
      <family val="2"/>
    </font>
    <font>
      <sz val="9"/>
      <color theme="1"/>
      <name val="Wingdings"/>
      <charset val="2"/>
    </font>
    <font>
      <b/>
      <sz val="10"/>
      <color rgb="FFFF0000"/>
      <name val="Wingdings"/>
      <charset val="2"/>
    </font>
  </fonts>
  <fills count="33">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CC99"/>
      </patternFill>
    </fill>
    <fill>
      <patternFill patternType="solid">
        <fgColor rgb="FFF2F2F2"/>
      </patternFill>
    </fill>
    <fill>
      <patternFill patternType="solid">
        <fgColor theme="0" tint="-0.14996795556505021"/>
        <bgColor indexed="64"/>
      </patternFill>
    </fill>
    <fill>
      <gradientFill degree="135">
        <stop position="0">
          <color theme="0"/>
        </stop>
        <stop position="1">
          <color rgb="FFCFCFCF"/>
        </stop>
      </gradientFill>
    </fill>
    <fill>
      <patternFill patternType="solid">
        <fgColor rgb="FFFFFF00"/>
        <bgColor indexed="64"/>
      </patternFill>
    </fill>
    <fill>
      <patternFill patternType="solid">
        <fgColor rgb="FF66FF33"/>
        <bgColor indexed="64"/>
      </patternFill>
    </fill>
    <fill>
      <patternFill patternType="solid">
        <fgColor rgb="FFFF0000"/>
        <bgColor indexed="64"/>
      </patternFill>
    </fill>
    <fill>
      <patternFill patternType="solid">
        <fgColor rgb="FFC00000"/>
        <bgColor indexed="64"/>
      </patternFill>
    </fill>
    <fill>
      <patternFill patternType="solid">
        <fgColor rgb="FFCCFFCC"/>
        <bgColor indexed="64"/>
      </patternFill>
    </fill>
    <fill>
      <patternFill patternType="solid">
        <fgColor theme="0" tint="-0.249977111117893"/>
        <bgColor indexed="64"/>
      </patternFill>
    </fill>
    <fill>
      <patternFill patternType="solid">
        <fgColor rgb="FFE6E6E6"/>
        <bgColor indexed="64"/>
      </patternFill>
    </fill>
    <fill>
      <gradientFill degree="90">
        <stop position="0">
          <color theme="0"/>
        </stop>
        <stop position="1">
          <color theme="0" tint="-0.25098422193060094"/>
        </stop>
      </gradientFill>
    </fill>
    <fill>
      <patternFill patternType="solid">
        <fgColor rgb="FF5D9BD1"/>
        <bgColor indexed="64"/>
      </patternFill>
    </fill>
    <fill>
      <patternFill patternType="solid">
        <fgColor rgb="FFFFFFFF"/>
        <bgColor indexed="64"/>
      </patternFill>
    </fill>
    <fill>
      <patternFill patternType="solid">
        <fgColor theme="8" tint="0.59996337778862885"/>
        <bgColor indexed="64"/>
      </patternFill>
    </fill>
    <fill>
      <gradientFill degree="180">
        <stop position="0">
          <color theme="0"/>
        </stop>
        <stop position="1">
          <color theme="8" tint="0.59999389629810485"/>
        </stop>
      </gradientFill>
    </fill>
    <fill>
      <gradientFill degree="90">
        <stop position="0">
          <color theme="0" tint="-5.0965910824915313E-2"/>
        </stop>
        <stop position="1">
          <color theme="1" tint="0.49803155613879818"/>
        </stop>
      </gradientFill>
    </fill>
    <fill>
      <patternFill patternType="solid">
        <fgColor rgb="FFFFC000"/>
        <bgColor indexed="64"/>
      </patternFill>
    </fill>
    <fill>
      <patternFill patternType="solid">
        <fgColor rgb="FF92D050"/>
        <bgColor indexed="64"/>
      </patternFill>
    </fill>
    <fill>
      <patternFill patternType="solid">
        <fgColor theme="7" tint="0.39997558519241921"/>
        <bgColor indexed="64"/>
      </patternFill>
    </fill>
    <fill>
      <gradientFill degree="90">
        <stop position="0">
          <color theme="0"/>
        </stop>
        <stop position="1">
          <color theme="0" tint="-0.1490218817712943"/>
        </stop>
      </gradientFill>
    </fill>
    <fill>
      <patternFill patternType="solid">
        <fgColor rgb="FFC45911"/>
        <bgColor indexed="64"/>
      </patternFill>
    </fill>
    <fill>
      <gradientFill degree="90">
        <stop position="0">
          <color theme="0"/>
        </stop>
        <stop position="1">
          <color theme="4"/>
        </stop>
      </gradientFill>
    </fill>
    <fill>
      <patternFill patternType="solid">
        <fgColor rgb="FFEAEAEA"/>
        <bgColor indexed="64"/>
      </patternFill>
    </fill>
    <fill>
      <gradientFill>
        <stop position="0">
          <color theme="0"/>
        </stop>
        <stop position="1">
          <color rgb="FFEAEAEA"/>
        </stop>
      </gradientFill>
    </fill>
    <fill>
      <patternFill patternType="lightGray">
        <bgColor rgb="FFFFCC99"/>
      </patternFill>
    </fill>
    <fill>
      <gradientFill>
        <stop position="0">
          <color theme="0"/>
        </stop>
        <stop position="0.5">
          <color rgb="FFFFCC99"/>
        </stop>
        <stop position="1">
          <color theme="0"/>
        </stop>
      </gradientFill>
    </fill>
    <fill>
      <patternFill patternType="solid">
        <fgColor rgb="FFFFECD9"/>
        <bgColor indexed="64"/>
      </patternFill>
    </fill>
  </fills>
  <borders count="133">
    <border>
      <left/>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auto="1"/>
      </top>
      <bottom style="medium">
        <color auto="1"/>
      </bottom>
      <diagonal/>
    </border>
    <border>
      <left/>
      <right/>
      <top/>
      <bottom style="thin">
        <color auto="1"/>
      </bottom>
      <diagonal/>
    </border>
    <border>
      <left style="thin">
        <color rgb="FF7F7F7F"/>
      </left>
      <right style="thin">
        <color rgb="FF7F7F7F"/>
      </right>
      <top/>
      <bottom style="thin">
        <color rgb="FF7F7F7F"/>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n">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theme="8" tint="0.39994506668294322"/>
      </left>
      <right/>
      <top/>
      <bottom/>
      <diagonal/>
    </border>
    <border>
      <left/>
      <right/>
      <top style="medium">
        <color theme="8" tint="0.39994506668294322"/>
      </top>
      <bottom/>
      <diagonal/>
    </border>
    <border>
      <left style="medium">
        <color theme="8" tint="0.39994506668294322"/>
      </left>
      <right/>
      <top style="medium">
        <color theme="8" tint="0.39994506668294322"/>
      </top>
      <bottom/>
      <diagonal/>
    </border>
    <border>
      <left/>
      <right/>
      <top/>
      <bottom style="medium">
        <color theme="8" tint="-0.499984740745262"/>
      </bottom>
      <diagonal/>
    </border>
    <border>
      <left style="medium">
        <color theme="8" tint="0.39994506668294322"/>
      </left>
      <right/>
      <top/>
      <bottom style="medium">
        <color theme="8" tint="-0.499984740745262"/>
      </bottom>
      <diagonal/>
    </border>
    <border>
      <left/>
      <right style="medium">
        <color theme="8" tint="-0.499984740745262"/>
      </right>
      <top/>
      <bottom/>
      <diagonal/>
    </border>
    <border>
      <left style="medium">
        <color theme="8" tint="0.39994506668294322"/>
      </left>
      <right style="medium">
        <color theme="8" tint="-0.499984740745262"/>
      </right>
      <top/>
      <bottom/>
      <diagonal/>
    </border>
    <border>
      <left/>
      <right style="medium">
        <color theme="8" tint="-0.499984740745262"/>
      </right>
      <top style="medium">
        <color theme="8" tint="0.39994506668294322"/>
      </top>
      <bottom/>
      <diagonal/>
    </border>
    <border>
      <left/>
      <right style="medium">
        <color theme="8" tint="-0.499984740745262"/>
      </right>
      <top/>
      <bottom style="medium">
        <color theme="8" tint="-0.499984740745262"/>
      </bottom>
      <diagonal/>
    </border>
    <border>
      <left style="medium">
        <color rgb="FF5D9BD1"/>
      </left>
      <right/>
      <top style="medium">
        <color rgb="FF5D9BD1"/>
      </top>
      <bottom/>
      <diagonal/>
    </border>
    <border>
      <left/>
      <right style="medium">
        <color rgb="FF5D9BD1"/>
      </right>
      <top style="medium">
        <color rgb="FF5D9BD1"/>
      </top>
      <bottom/>
      <diagonal/>
    </border>
    <border>
      <left style="medium">
        <color rgb="FF5D9BD1"/>
      </left>
      <right style="medium">
        <color rgb="FF5D9BD1"/>
      </right>
      <top style="medium">
        <color rgb="FF5D9BD1"/>
      </top>
      <bottom style="medium">
        <color rgb="FF5D9BD1"/>
      </bottom>
      <diagonal/>
    </border>
    <border>
      <left style="medium">
        <color rgb="FF5D9BD1"/>
      </left>
      <right style="medium">
        <color rgb="FF5D9BD1"/>
      </right>
      <top style="medium">
        <color rgb="FF5D9BD1"/>
      </top>
      <bottom/>
      <diagonal/>
    </border>
    <border>
      <left style="medium">
        <color rgb="FF5D9BD1"/>
      </left>
      <right style="medium">
        <color rgb="FF5D9BD1"/>
      </right>
      <top/>
      <bottom/>
      <diagonal/>
    </border>
    <border>
      <left style="medium">
        <color rgb="FF5D9BD1"/>
      </left>
      <right style="medium">
        <color rgb="FF5D9BD1"/>
      </right>
      <top/>
      <bottom style="medium">
        <color rgb="FF5D9BD1"/>
      </bottom>
      <diagonal/>
    </border>
    <border>
      <left style="medium">
        <color rgb="FF5D9BD1"/>
      </left>
      <right style="thin">
        <color rgb="FF5D9BD1"/>
      </right>
      <top style="medium">
        <color rgb="FF5D9BD1"/>
      </top>
      <bottom style="thin">
        <color rgb="FF5D9BD1"/>
      </bottom>
      <diagonal/>
    </border>
    <border>
      <left style="thin">
        <color rgb="FF5D9BD1"/>
      </left>
      <right style="medium">
        <color rgb="FF5D9BD1"/>
      </right>
      <top style="medium">
        <color rgb="FF5D9BD1"/>
      </top>
      <bottom style="thin">
        <color rgb="FF5D9BD1"/>
      </bottom>
      <diagonal/>
    </border>
    <border>
      <left style="medium">
        <color rgb="FF5D9BD1"/>
      </left>
      <right style="thin">
        <color rgb="FF5D9BD1"/>
      </right>
      <top style="thin">
        <color rgb="FF5D9BD1"/>
      </top>
      <bottom style="thin">
        <color rgb="FF5D9BD1"/>
      </bottom>
      <diagonal/>
    </border>
    <border>
      <left style="thin">
        <color rgb="FF5D9BD1"/>
      </left>
      <right style="medium">
        <color rgb="FF5D9BD1"/>
      </right>
      <top style="thin">
        <color rgb="FF5D9BD1"/>
      </top>
      <bottom style="thin">
        <color rgb="FF5D9BD1"/>
      </bottom>
      <diagonal/>
    </border>
    <border>
      <left style="medium">
        <color rgb="FF5D9BD1"/>
      </left>
      <right style="thin">
        <color rgb="FF5D9BD1"/>
      </right>
      <top style="thin">
        <color rgb="FF5D9BD1"/>
      </top>
      <bottom style="medium">
        <color rgb="FF5D9BD1"/>
      </bottom>
      <diagonal/>
    </border>
    <border>
      <left style="thin">
        <color rgb="FF5D9BD1"/>
      </left>
      <right style="medium">
        <color rgb="FF5D9BD1"/>
      </right>
      <top style="thin">
        <color rgb="FF5D9BD1"/>
      </top>
      <bottom style="medium">
        <color rgb="FF5D9BD1"/>
      </bottom>
      <diagonal/>
    </border>
    <border>
      <left/>
      <right/>
      <top/>
      <bottom style="medium">
        <color theme="8" tint="-0.24994659260841701"/>
      </bottom>
      <diagonal/>
    </border>
    <border>
      <left/>
      <right/>
      <top style="thin">
        <color theme="8" tint="-0.24994659260841701"/>
      </top>
      <bottom style="medium">
        <color theme="8" tint="-0.24994659260841701"/>
      </bottom>
      <diagonal/>
    </border>
    <border>
      <left/>
      <right/>
      <top style="medium">
        <color theme="8" tint="-0.24994659260841701"/>
      </top>
      <bottom/>
      <diagonal/>
    </border>
    <border>
      <left style="thin">
        <color theme="1" tint="0.499984740745262"/>
      </left>
      <right/>
      <top style="thin">
        <color auto="1"/>
      </top>
      <bottom style="medium">
        <color auto="1"/>
      </bottom>
      <diagonal/>
    </border>
    <border>
      <left/>
      <right style="thin">
        <color theme="1" tint="0.499984740745262"/>
      </right>
      <top style="thin">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thin">
        <color indexed="64"/>
      </right>
      <top style="thin">
        <color indexed="64"/>
      </top>
      <bottom style="medium">
        <color auto="1"/>
      </bottom>
      <diagonal/>
    </border>
    <border>
      <left style="thin">
        <color indexed="64"/>
      </left>
      <right style="medium">
        <color auto="1"/>
      </right>
      <top style="thin">
        <color indexed="64"/>
      </top>
      <bottom style="medium">
        <color auto="1"/>
      </bottom>
      <diagonal/>
    </border>
    <border>
      <left style="thin">
        <color auto="1"/>
      </left>
      <right style="thin">
        <color auto="1"/>
      </right>
      <top/>
      <bottom/>
      <diagonal/>
    </border>
    <border>
      <left style="thin">
        <color rgb="FF3F3F3F"/>
      </left>
      <right/>
      <top style="thin">
        <color rgb="FF3F3F3F"/>
      </top>
      <bottom style="thin">
        <color rgb="FF3F3F3F"/>
      </bottom>
      <diagonal/>
    </border>
    <border>
      <left style="medium">
        <color rgb="FF3F3F3F"/>
      </left>
      <right style="medium">
        <color rgb="FF3F3F3F"/>
      </right>
      <top style="medium">
        <color rgb="FF3F3F3F"/>
      </top>
      <bottom style="medium">
        <color rgb="FF3F3F3F"/>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auto="1"/>
      </bottom>
      <diagonal/>
    </border>
    <border>
      <left style="thin">
        <color indexed="64"/>
      </left>
      <right style="medium">
        <color auto="1"/>
      </right>
      <top style="medium">
        <color indexed="64"/>
      </top>
      <bottom style="medium">
        <color auto="1"/>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3F3F3F"/>
      </left>
      <right/>
      <top/>
      <bottom/>
      <diagonal/>
    </border>
    <border>
      <left style="thin">
        <color auto="1"/>
      </left>
      <right/>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bottom style="medium">
        <color auto="1"/>
      </bottom>
      <diagonal/>
    </border>
    <border>
      <left style="thin">
        <color rgb="FF7F7F7F"/>
      </left>
      <right style="thin">
        <color rgb="FF7F7F7F"/>
      </right>
      <top style="thin">
        <color rgb="FF7F7F7F"/>
      </top>
      <bottom/>
      <diagonal/>
    </border>
    <border>
      <left/>
      <right/>
      <top style="thin">
        <color rgb="FF7F7F7F"/>
      </top>
      <bottom/>
      <diagonal/>
    </border>
    <border>
      <left/>
      <right/>
      <top/>
      <bottom style="thin">
        <color rgb="FF7F7F7F"/>
      </bottom>
      <diagonal/>
    </border>
    <border>
      <left style="thin">
        <color theme="0"/>
      </left>
      <right style="thin">
        <color rgb="FF7F7F7F"/>
      </right>
      <top style="thin">
        <color rgb="FF7F7F7F"/>
      </top>
      <bottom/>
      <diagonal/>
    </border>
    <border>
      <left style="thin">
        <color theme="0"/>
      </left>
      <right style="thin">
        <color rgb="FF7F7F7F"/>
      </right>
      <top/>
      <bottom/>
      <diagonal/>
    </border>
    <border>
      <left style="thin">
        <color theme="0"/>
      </left>
      <right style="thin">
        <color rgb="FF7F7F7F"/>
      </right>
      <top/>
      <bottom style="thin">
        <color rgb="FF7F7F7F"/>
      </bottom>
      <diagonal/>
    </border>
    <border>
      <left style="thin">
        <color rgb="FF7F7F7F"/>
      </left>
      <right/>
      <top style="thin">
        <color rgb="FF7F7F7F"/>
      </top>
      <bottom/>
      <diagonal/>
    </border>
    <border>
      <left style="dotted">
        <color auto="1"/>
      </left>
      <right/>
      <top/>
      <bottom style="dotted">
        <color auto="1"/>
      </bottom>
      <diagonal/>
    </border>
    <border>
      <left style="dotted">
        <color auto="1"/>
      </left>
      <right style="medium">
        <color auto="1"/>
      </right>
      <top/>
      <bottom style="medium">
        <color auto="1"/>
      </bottom>
      <diagonal/>
    </border>
    <border>
      <left style="dotted">
        <color auto="1"/>
      </left>
      <right/>
      <top/>
      <bottom style="medium">
        <color auto="1"/>
      </bottom>
      <diagonal/>
    </border>
    <border>
      <left style="dotted">
        <color auto="1"/>
      </left>
      <right/>
      <top/>
      <bottom/>
      <diagonal/>
    </border>
    <border>
      <left/>
      <right/>
      <top/>
      <bottom style="dotted">
        <color auto="1"/>
      </bottom>
      <diagonal/>
    </border>
    <border>
      <left/>
      <right style="thin">
        <color rgb="FF7F7F7F"/>
      </right>
      <top/>
      <bottom style="thin">
        <color rgb="FF7F7F7F"/>
      </bottom>
      <diagonal/>
    </border>
    <border>
      <left/>
      <right style="thin">
        <color rgb="FF7F7F7F"/>
      </right>
      <top style="thin">
        <color auto="1"/>
      </top>
      <bottom/>
      <diagonal/>
    </border>
    <border>
      <left/>
      <right style="thin">
        <color rgb="FF7F7F7F"/>
      </right>
      <top/>
      <bottom/>
      <diagonal/>
    </border>
    <border>
      <left/>
      <right style="medium">
        <color indexed="64"/>
      </right>
      <top style="medium">
        <color indexed="64"/>
      </top>
      <bottom style="thin">
        <color indexed="64"/>
      </bottom>
      <diagonal/>
    </border>
    <border>
      <left style="medium">
        <color rgb="FF3F3F3F"/>
      </left>
      <right/>
      <top/>
      <bottom/>
      <diagonal/>
    </border>
    <border>
      <left/>
      <right style="medium">
        <color rgb="FF3F3F3F"/>
      </right>
      <top/>
      <bottom/>
      <diagonal/>
    </border>
    <border>
      <left/>
      <right style="medium">
        <color indexed="64"/>
      </right>
      <top style="thin">
        <color indexed="64"/>
      </top>
      <bottom style="medium">
        <color indexed="64"/>
      </bottom>
      <diagonal/>
    </border>
    <border>
      <left style="medium">
        <color auto="1"/>
      </left>
      <right/>
      <top/>
      <bottom/>
      <diagonal/>
    </border>
    <border>
      <left style="thin">
        <color rgb="FF7F7F7F"/>
      </left>
      <right/>
      <top/>
      <bottom style="thin">
        <color rgb="FF7F7F7F"/>
      </bottom>
      <diagonal/>
    </border>
    <border>
      <left/>
      <right style="thin">
        <color auto="1"/>
      </right>
      <top style="thin">
        <color auto="1"/>
      </top>
      <bottom style="thin">
        <color theme="0" tint="-0.14996795556505021"/>
      </bottom>
      <diagonal/>
    </border>
    <border>
      <left/>
      <right style="thin">
        <color auto="1"/>
      </right>
      <top style="thin">
        <color theme="0" tint="-0.14996795556505021"/>
      </top>
      <bottom style="thin">
        <color theme="0" tint="-0.14996795556505021"/>
      </bottom>
      <diagonal/>
    </border>
    <border>
      <left/>
      <right style="thin">
        <color auto="1"/>
      </right>
      <top style="thin">
        <color theme="0" tint="-0.14996795556505021"/>
      </top>
      <bottom style="thin">
        <color auto="1"/>
      </bottom>
      <diagonal/>
    </border>
    <border>
      <left/>
      <right style="medium">
        <color theme="8" tint="-0.499984740745262"/>
      </right>
      <top style="medium">
        <color theme="8" tint="0.39994506668294322"/>
      </top>
      <bottom style="medium">
        <color theme="8" tint="-0.499984740745262"/>
      </bottom>
      <diagonal/>
    </border>
    <border>
      <left/>
      <right/>
      <top style="medium">
        <color theme="8" tint="0.39994506668294322"/>
      </top>
      <bottom style="medium">
        <color theme="8" tint="-0.499984740745262"/>
      </bottom>
      <diagonal/>
    </border>
    <border>
      <left/>
      <right/>
      <top style="medium">
        <color theme="8" tint="-0.499984740745262"/>
      </top>
      <bottom/>
      <diagonal/>
    </border>
    <border>
      <left/>
      <right style="thin">
        <color theme="8" tint="-0.499984740745262"/>
      </right>
      <top style="thin">
        <color auto="1"/>
      </top>
      <bottom style="medium">
        <color theme="8" tint="-0.499984740745262"/>
      </bottom>
      <diagonal/>
    </border>
    <border>
      <left style="thin">
        <color theme="8" tint="-0.499984740745262"/>
      </left>
      <right/>
      <top style="thin">
        <color auto="1"/>
      </top>
      <bottom style="medium">
        <color theme="8" tint="-0.499984740745262"/>
      </bottom>
      <diagonal/>
    </border>
    <border>
      <left/>
      <right style="thin">
        <color theme="8" tint="-0.499984740745262"/>
      </right>
      <top/>
      <bottom style="thin">
        <color theme="0" tint="-0.24994659260841701"/>
      </bottom>
      <diagonal/>
    </border>
    <border>
      <left style="thin">
        <color auto="1"/>
      </left>
      <right style="medium">
        <color auto="1"/>
      </right>
      <top style="thin">
        <color theme="0" tint="-0.24994659260841701"/>
      </top>
      <bottom style="thin">
        <color theme="0" tint="-0.24994659260841701"/>
      </bottom>
      <diagonal/>
    </border>
    <border>
      <left/>
      <right style="thin">
        <color theme="8" tint="-0.499984740745262"/>
      </right>
      <top style="thin">
        <color theme="0" tint="-0.24994659260841701"/>
      </top>
      <bottom style="thin">
        <color theme="0" tint="-0.24994659260841701"/>
      </bottom>
      <diagonal/>
    </border>
    <border>
      <left style="thin">
        <color auto="1"/>
      </left>
      <right style="medium">
        <color auto="1"/>
      </right>
      <top style="thin">
        <color theme="0" tint="-0.24994659260841701"/>
      </top>
      <bottom style="thin">
        <color auto="1"/>
      </bottom>
      <diagonal/>
    </border>
    <border>
      <left/>
      <right style="thin">
        <color theme="8" tint="-0.499984740745262"/>
      </right>
      <top style="thin">
        <color theme="0" tint="-0.24994659260841701"/>
      </top>
      <bottom style="thin">
        <color auto="1"/>
      </bottom>
      <diagonal/>
    </border>
    <border>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theme="8" tint="-0.499984740745262"/>
      </left>
      <right style="thin">
        <color theme="0" tint="-0.24994659260841701"/>
      </right>
      <top style="medium">
        <color theme="8" tint="-0.499984740745262"/>
      </top>
      <bottom style="thin">
        <color theme="0" tint="-0.24994659260841701"/>
      </bottom>
      <diagonal/>
    </border>
    <border>
      <left style="thin">
        <color theme="8" tint="-0.499984740745262"/>
      </left>
      <right style="thin">
        <color theme="0" tint="-0.24994659260841701"/>
      </right>
      <top style="thin">
        <color theme="0" tint="-0.24994659260841701"/>
      </top>
      <bottom style="thin">
        <color theme="0" tint="-0.24994659260841701"/>
      </bottom>
      <diagonal/>
    </border>
    <border>
      <left style="thin">
        <color theme="8" tint="-0.499984740745262"/>
      </left>
      <right style="thin">
        <color theme="0" tint="-0.24994659260841701"/>
      </right>
      <top style="thin">
        <color theme="0" tint="-0.24994659260841701"/>
      </top>
      <bottom style="thin">
        <color auto="1"/>
      </bottom>
      <diagonal/>
    </border>
    <border>
      <left style="thin">
        <color theme="0" tint="-0.24994659260841701"/>
      </left>
      <right/>
      <top style="thin">
        <color theme="0" tint="-0.24994659260841701"/>
      </top>
      <bottom style="thin">
        <color theme="0" tint="-0.24994659260841701"/>
      </bottom>
      <diagonal/>
    </border>
    <border>
      <left/>
      <right style="thin">
        <color auto="1"/>
      </right>
      <top style="thin">
        <color auto="1"/>
      </top>
      <bottom style="thin">
        <color auto="1"/>
      </bottom>
      <diagonal/>
    </border>
    <border>
      <left/>
      <right/>
      <top/>
      <bottom style="medium">
        <color theme="8" tint="0.39994506668294322"/>
      </bottom>
      <diagonal/>
    </border>
  </borders>
  <cellStyleXfs count="5">
    <xf numFmtId="0" fontId="0" fillId="0" borderId="0"/>
    <xf numFmtId="0" fontId="2" fillId="5" borderId="2" applyNumberFormat="0" applyAlignment="0" applyProtection="0"/>
    <xf numFmtId="0" fontId="3" fillId="6" borderId="3" applyNumberFormat="0" applyAlignment="0" applyProtection="0"/>
    <xf numFmtId="0" fontId="17" fillId="0" borderId="0" applyNumberFormat="0" applyFill="0" applyBorder="0" applyAlignment="0" applyProtection="0"/>
    <xf numFmtId="0" fontId="40" fillId="0" borderId="0"/>
  </cellStyleXfs>
  <cellXfs count="526">
    <xf numFmtId="0" fontId="0" fillId="0" borderId="0" xfId="0"/>
    <xf numFmtId="0" fontId="0" fillId="2" borderId="0" xfId="0" applyFill="1"/>
    <xf numFmtId="0" fontId="0" fillId="3" borderId="0" xfId="0" applyFill="1"/>
    <xf numFmtId="0" fontId="0" fillId="0" borderId="0" xfId="0" applyAlignment="1">
      <alignment wrapText="1"/>
    </xf>
    <xf numFmtId="0" fontId="0" fillId="0" borderId="0" xfId="0" applyAlignment="1">
      <alignment horizontal="left" indent="1"/>
    </xf>
    <xf numFmtId="0" fontId="1" fillId="0" borderId="0" xfId="0" applyFont="1" applyAlignment="1">
      <alignment horizontal="right" indent="1"/>
    </xf>
    <xf numFmtId="0" fontId="1" fillId="0" borderId="1" xfId="0" applyFont="1" applyBorder="1" applyAlignment="1">
      <alignment horizontal="left" indent="1"/>
    </xf>
    <xf numFmtId="0" fontId="0" fillId="0" borderId="0" xfId="0" applyAlignment="1">
      <alignment horizontal="left" vertical="center" indent="1" shrinkToFit="1"/>
    </xf>
    <xf numFmtId="0" fontId="0" fillId="0" borderId="0" xfId="0" applyAlignment="1">
      <alignment horizontal="left" vertical="center" wrapText="1" indent="1"/>
    </xf>
    <xf numFmtId="0" fontId="0" fillId="0" borderId="0" xfId="0" applyAlignment="1">
      <alignment horizontal="left" vertical="center" indent="1"/>
    </xf>
    <xf numFmtId="0" fontId="0" fillId="7" borderId="4" xfId="0" applyFill="1" applyBorder="1" applyAlignment="1">
      <alignment horizontal="left" vertical="center" indent="1"/>
    </xf>
    <xf numFmtId="0" fontId="0" fillId="0" borderId="0" xfId="0" applyAlignment="1">
      <alignment horizontal="right" indent="1"/>
    </xf>
    <xf numFmtId="0" fontId="2" fillId="5" borderId="2" xfId="1" applyAlignment="1">
      <alignment horizontal="left" indent="1"/>
    </xf>
    <xf numFmtId="0" fontId="1" fillId="4" borderId="5" xfId="0" applyFont="1" applyFill="1" applyBorder="1" applyAlignment="1">
      <alignment horizontal="right" indent="1"/>
    </xf>
    <xf numFmtId="0" fontId="0" fillId="4" borderId="5" xfId="0" applyFill="1" applyBorder="1" applyAlignment="1">
      <alignment horizontal="left" indent="1"/>
    </xf>
    <xf numFmtId="0" fontId="0" fillId="8" borderId="1" xfId="0" applyFill="1" applyBorder="1" applyAlignment="1">
      <alignment horizontal="left" vertical="center" indent="1"/>
    </xf>
    <xf numFmtId="0" fontId="2" fillId="5" borderId="2" xfId="1" applyAlignment="1">
      <alignment horizontal="center" shrinkToFit="1"/>
    </xf>
    <xf numFmtId="0" fontId="3" fillId="6" borderId="3" xfId="2" applyAlignment="1">
      <alignment horizontal="center" shrinkToFit="1"/>
    </xf>
    <xf numFmtId="0" fontId="5" fillId="0" borderId="1" xfId="0" applyFont="1" applyBorder="1" applyAlignment="1">
      <alignment horizontal="left" indent="1"/>
    </xf>
    <xf numFmtId="0" fontId="6" fillId="0" borderId="1" xfId="0" applyFont="1" applyBorder="1" applyAlignment="1">
      <alignment horizontal="left" indent="1"/>
    </xf>
    <xf numFmtId="0" fontId="7" fillId="0" borderId="1" xfId="0" applyFont="1" applyBorder="1" applyAlignment="1">
      <alignment horizontal="left" indent="1"/>
    </xf>
    <xf numFmtId="0" fontId="8" fillId="0" borderId="1" xfId="0" applyFont="1" applyBorder="1" applyAlignment="1">
      <alignment horizontal="left" indent="1"/>
    </xf>
    <xf numFmtId="0" fontId="9" fillId="0" borderId="1" xfId="0" applyFont="1" applyBorder="1" applyAlignment="1">
      <alignment horizontal="left" indent="1"/>
    </xf>
    <xf numFmtId="0" fontId="0" fillId="0" borderId="1" xfId="0" applyBorder="1" applyAlignment="1">
      <alignment horizontal="center" shrinkToFit="1"/>
    </xf>
    <xf numFmtId="0" fontId="0" fillId="0" borderId="0" xfId="0" applyAlignment="1">
      <alignment horizontal="center" vertical="center" shrinkToFit="1"/>
    </xf>
    <xf numFmtId="0" fontId="0" fillId="0" borderId="0" xfId="0" applyAlignment="1">
      <alignment horizontal="center" vertical="center"/>
    </xf>
    <xf numFmtId="165" fontId="0" fillId="0" borderId="0" xfId="0" applyNumberFormat="1" applyAlignment="1">
      <alignment horizontal="right" vertical="center" indent="1" shrinkToFit="1"/>
    </xf>
    <xf numFmtId="164" fontId="0" fillId="0" borderId="0" xfId="0" applyNumberFormat="1" applyAlignment="1">
      <alignment horizontal="right" vertical="center" indent="1" shrinkToFit="1"/>
    </xf>
    <xf numFmtId="0" fontId="11" fillId="0" borderId="0" xfId="0" applyFont="1" applyAlignment="1">
      <alignment horizontal="center" vertical="center"/>
    </xf>
    <xf numFmtId="0" fontId="1" fillId="0" borderId="0" xfId="0" applyFont="1" applyAlignment="1">
      <alignment horizontal="center" vertical="center"/>
    </xf>
    <xf numFmtId="0" fontId="0" fillId="3" borderId="8" xfId="0" applyFill="1" applyBorder="1"/>
    <xf numFmtId="0" fontId="11" fillId="3" borderId="8" xfId="0" applyFont="1" applyFill="1" applyBorder="1" applyAlignment="1">
      <alignment horizontal="center" vertical="center"/>
    </xf>
    <xf numFmtId="0" fontId="0" fillId="3" borderId="7" xfId="0" applyFill="1" applyBorder="1"/>
    <xf numFmtId="0" fontId="11" fillId="3" borderId="1" xfId="0" applyFont="1" applyFill="1" applyBorder="1" applyAlignment="1">
      <alignment horizontal="center" vertical="center"/>
    </xf>
    <xf numFmtId="0" fontId="0" fillId="3" borderId="1" xfId="0" applyFill="1" applyBorder="1"/>
    <xf numFmtId="0" fontId="0" fillId="0" borderId="1" xfId="0" applyBorder="1" applyAlignment="1">
      <alignment horizontal="left" indent="1"/>
    </xf>
    <xf numFmtId="0" fontId="0" fillId="0" borderId="1" xfId="0" applyBorder="1" applyAlignment="1">
      <alignment horizontal="left" wrapText="1" indent="1"/>
    </xf>
    <xf numFmtId="0" fontId="0" fillId="9" borderId="9" xfId="0" applyFill="1" applyBorder="1" applyAlignment="1">
      <alignment horizontal="center" vertical="center" wrapText="1"/>
    </xf>
    <xf numFmtId="0" fontId="0" fillId="11" borderId="9" xfId="0" applyFill="1" applyBorder="1" applyAlignment="1">
      <alignment horizontal="center" vertical="center" wrapText="1"/>
    </xf>
    <xf numFmtId="0" fontId="0" fillId="12" borderId="9" xfId="0" applyFill="1" applyBorder="1" applyAlignment="1">
      <alignment horizontal="center" vertical="center" wrapText="1"/>
    </xf>
    <xf numFmtId="0" fontId="4" fillId="12" borderId="9" xfId="0" applyFont="1" applyFill="1" applyBorder="1" applyAlignment="1">
      <alignment horizontal="center" vertical="center" wrapText="1"/>
    </xf>
    <xf numFmtId="0" fontId="0" fillId="10" borderId="9" xfId="0" applyFill="1" applyBorder="1" applyAlignment="1">
      <alignment horizontal="center" vertical="center" wrapText="1"/>
    </xf>
    <xf numFmtId="0" fontId="0" fillId="13" borderId="9" xfId="0" applyFill="1" applyBorder="1" applyAlignment="1">
      <alignment horizontal="center" vertical="center" wrapText="1"/>
    </xf>
    <xf numFmtId="0" fontId="0" fillId="0" borderId="10" xfId="0" applyBorder="1" applyAlignment="1">
      <alignment horizontal="left" vertical="center" wrapText="1" indent="1"/>
    </xf>
    <xf numFmtId="166" fontId="0" fillId="0" borderId="10" xfId="0" applyNumberFormat="1" applyBorder="1" applyAlignment="1">
      <alignment horizontal="left" vertical="center" indent="1" shrinkToFit="1"/>
    </xf>
    <xf numFmtId="0" fontId="0" fillId="0" borderId="11" xfId="0" applyBorder="1" applyAlignment="1">
      <alignment horizontal="left" vertical="center" wrapText="1" indent="1"/>
    </xf>
    <xf numFmtId="166" fontId="0" fillId="0" borderId="11" xfId="0" applyNumberFormat="1" applyBorder="1" applyAlignment="1">
      <alignment horizontal="left" vertical="center" indent="1" shrinkToFit="1"/>
    </xf>
    <xf numFmtId="0" fontId="0" fillId="0" borderId="11" xfId="0" applyFill="1" applyBorder="1" applyAlignment="1">
      <alignment horizontal="left" vertical="center" wrapText="1" indent="1"/>
    </xf>
    <xf numFmtId="0" fontId="1" fillId="0" borderId="0" xfId="0" applyFont="1" applyAlignment="1">
      <alignment horizontal="left" indent="1"/>
    </xf>
    <xf numFmtId="0" fontId="11" fillId="0" borderId="0" xfId="0" applyFont="1" applyAlignment="1">
      <alignment horizontal="left" indent="1"/>
    </xf>
    <xf numFmtId="0" fontId="0" fillId="14" borderId="0" xfId="0" applyFill="1"/>
    <xf numFmtId="0" fontId="0" fillId="10" borderId="5" xfId="0" applyFill="1" applyBorder="1" applyAlignment="1">
      <alignment horizontal="right" indent="1" shrinkToFit="1"/>
    </xf>
    <xf numFmtId="0" fontId="0" fillId="9" borderId="5" xfId="0" applyFill="1" applyBorder="1" applyAlignment="1">
      <alignment horizontal="right" indent="1" shrinkToFit="1"/>
    </xf>
    <xf numFmtId="0" fontId="0" fillId="11" borderId="5" xfId="0" applyFill="1" applyBorder="1" applyAlignment="1">
      <alignment horizontal="right" indent="1" shrinkToFit="1"/>
    </xf>
    <xf numFmtId="0" fontId="0" fillId="12" borderId="5" xfId="0" applyFill="1" applyBorder="1" applyAlignment="1">
      <alignment horizontal="right" indent="1" shrinkToFit="1"/>
    </xf>
    <xf numFmtId="0" fontId="0" fillId="0" borderId="0" xfId="0" applyNumberFormat="1" applyAlignment="1">
      <alignment horizontal="center" vertical="center" shrinkToFit="1"/>
    </xf>
    <xf numFmtId="167" fontId="0" fillId="0" borderId="0" xfId="0" applyNumberFormat="1" applyAlignment="1">
      <alignment horizontal="center" vertical="center" shrinkToFit="1"/>
    </xf>
    <xf numFmtId="3" fontId="0" fillId="0" borderId="0" xfId="0" applyNumberFormat="1" applyAlignment="1">
      <alignment horizontal="center" vertical="center" shrinkToFit="1"/>
    </xf>
    <xf numFmtId="0" fontId="0" fillId="0" borderId="0" xfId="0" applyFill="1" applyBorder="1" applyAlignment="1">
      <alignment horizontal="left" vertical="center" indent="1"/>
    </xf>
    <xf numFmtId="0" fontId="14" fillId="13" borderId="5" xfId="0" applyFont="1" applyFill="1" applyBorder="1" applyAlignment="1">
      <alignment horizontal="right" indent="1" shrinkToFit="1"/>
    </xf>
    <xf numFmtId="168" fontId="0" fillId="0" borderId="13" xfId="0" applyNumberFormat="1" applyBorder="1" applyAlignment="1">
      <alignment horizontal="right" indent="1" shrinkToFit="1"/>
    </xf>
    <xf numFmtId="168" fontId="0" fillId="0" borderId="0" xfId="0" applyNumberFormat="1" applyBorder="1" applyAlignment="1">
      <alignment horizontal="right" indent="1" shrinkToFit="1"/>
    </xf>
    <xf numFmtId="168" fontId="0" fillId="0" borderId="5" xfId="0" applyNumberFormat="1" applyBorder="1" applyAlignment="1">
      <alignment horizontal="right" indent="1" shrinkToFit="1"/>
    </xf>
    <xf numFmtId="0" fontId="0" fillId="0" borderId="0" xfId="0" applyFill="1" applyBorder="1" applyAlignment="1">
      <alignment horizontal="right" indent="1"/>
    </xf>
    <xf numFmtId="168" fontId="1" fillId="0" borderId="0" xfId="0" applyNumberFormat="1" applyFont="1" applyFill="1" applyBorder="1" applyAlignment="1">
      <alignment horizontal="right" indent="1" shrinkToFit="1"/>
    </xf>
    <xf numFmtId="14" fontId="2" fillId="5" borderId="2" xfId="1" applyNumberFormat="1" applyAlignment="1">
      <alignment horizontal="left" indent="1"/>
    </xf>
    <xf numFmtId="0" fontId="3" fillId="6" borderId="3" xfId="2" applyAlignment="1">
      <alignment horizontal="left" indent="1" shrinkToFit="1"/>
    </xf>
    <xf numFmtId="0" fontId="2" fillId="5" borderId="2" xfId="1"/>
    <xf numFmtId="0" fontId="3" fillId="6" borderId="3" xfId="2" applyAlignment="1">
      <alignment horizontal="left" indent="1"/>
    </xf>
    <xf numFmtId="171" fontId="3" fillId="6" borderId="3" xfId="2" applyNumberFormat="1" applyAlignment="1">
      <alignment horizontal="left" vertical="center" indent="1" shrinkToFit="1"/>
    </xf>
    <xf numFmtId="172" fontId="0" fillId="0" borderId="0" xfId="0" applyNumberFormat="1" applyAlignment="1">
      <alignment horizontal="left" indent="1" shrinkToFit="1"/>
    </xf>
    <xf numFmtId="173" fontId="0" fillId="0" borderId="0" xfId="0" applyNumberFormat="1" applyAlignment="1">
      <alignment horizontal="right" indent="1"/>
    </xf>
    <xf numFmtId="175" fontId="3" fillId="6" borderId="3" xfId="2" applyNumberFormat="1" applyAlignment="1">
      <alignment horizontal="left" indent="1"/>
    </xf>
    <xf numFmtId="172" fontId="3" fillId="6" borderId="3" xfId="2" applyNumberFormat="1" applyAlignment="1">
      <alignment horizontal="left" indent="1"/>
    </xf>
    <xf numFmtId="176" fontId="3" fillId="6" borderId="3" xfId="2" applyNumberFormat="1" applyAlignment="1">
      <alignment horizontal="right" indent="1"/>
    </xf>
    <xf numFmtId="177" fontId="0" fillId="0" borderId="0" xfId="0" applyNumberFormat="1"/>
    <xf numFmtId="178" fontId="3" fillId="6" borderId="3" xfId="2" applyNumberFormat="1" applyAlignment="1">
      <alignment horizontal="left" indent="1" shrinkToFit="1"/>
    </xf>
    <xf numFmtId="0" fontId="1" fillId="3" borderId="0" xfId="0" applyFont="1" applyFill="1" applyAlignment="1">
      <alignment horizontal="right" indent="1"/>
    </xf>
    <xf numFmtId="0" fontId="0" fillId="3" borderId="0" xfId="0" applyFill="1" applyAlignment="1">
      <alignment horizontal="left" indent="1"/>
    </xf>
    <xf numFmtId="0" fontId="0" fillId="2" borderId="19" xfId="0" applyFill="1" applyBorder="1"/>
    <xf numFmtId="0" fontId="0" fillId="2" borderId="21" xfId="0" applyFill="1" applyBorder="1"/>
    <xf numFmtId="0" fontId="0" fillId="2" borderId="20" xfId="0" applyFill="1" applyBorder="1"/>
    <xf numFmtId="0" fontId="0" fillId="2" borderId="22" xfId="0" applyFill="1" applyBorder="1"/>
    <xf numFmtId="0" fontId="0" fillId="2" borderId="23" xfId="0" applyFill="1" applyBorder="1"/>
    <xf numFmtId="0" fontId="0" fillId="2" borderId="25" xfId="0" applyFill="1" applyBorder="1"/>
    <xf numFmtId="0" fontId="0" fillId="2" borderId="26" xfId="0" applyFill="1" applyBorder="1"/>
    <xf numFmtId="0" fontId="0" fillId="2" borderId="24" xfId="0" applyFill="1" applyBorder="1"/>
    <xf numFmtId="0" fontId="0" fillId="2" borderId="27" xfId="0" applyFill="1" applyBorder="1"/>
    <xf numFmtId="0" fontId="0" fillId="15" borderId="0" xfId="0" applyFill="1"/>
    <xf numFmtId="0" fontId="16" fillId="3" borderId="0" xfId="0" applyFont="1" applyFill="1" applyAlignment="1">
      <alignment horizontal="left" indent="1"/>
    </xf>
    <xf numFmtId="0" fontId="15" fillId="2" borderId="24" xfId="0" applyFont="1" applyFill="1" applyBorder="1" applyAlignment="1">
      <alignment horizontal="right" indent="6"/>
    </xf>
    <xf numFmtId="0" fontId="0" fillId="3" borderId="0" xfId="0" applyFill="1" applyAlignment="1">
      <alignment horizontal="right" indent="1"/>
    </xf>
    <xf numFmtId="0" fontId="1" fillId="0" borderId="0" xfId="0" applyFont="1" applyFill="1" applyBorder="1" applyAlignment="1">
      <alignment horizontal="left" vertical="center" wrapText="1" indent="1"/>
    </xf>
    <xf numFmtId="0" fontId="17" fillId="0" borderId="0" xfId="3" applyAlignment="1">
      <alignment horizontal="left" indent="1"/>
    </xf>
    <xf numFmtId="179" fontId="0" fillId="0" borderId="0" xfId="0" applyNumberFormat="1" applyAlignment="1">
      <alignment horizontal="right" indent="1" shrinkToFit="1"/>
    </xf>
    <xf numFmtId="0" fontId="1" fillId="0" borderId="1" xfId="0" applyFont="1" applyBorder="1" applyAlignment="1">
      <alignment horizontal="right" indent="1" shrinkToFit="1"/>
    </xf>
    <xf numFmtId="0" fontId="0" fillId="0" borderId="0" xfId="0" applyFill="1" applyBorder="1" applyAlignment="1">
      <alignment horizontal="left" indent="1"/>
    </xf>
    <xf numFmtId="0" fontId="0" fillId="16" borderId="5" xfId="0" applyFill="1" applyBorder="1"/>
    <xf numFmtId="0" fontId="18" fillId="16" borderId="5" xfId="0" applyFont="1" applyFill="1" applyBorder="1"/>
    <xf numFmtId="170" fontId="3" fillId="6" borderId="3" xfId="2" applyNumberFormat="1" applyAlignment="1">
      <alignment horizontal="right" indent="1" shrinkToFit="1"/>
    </xf>
    <xf numFmtId="9" fontId="3" fillId="6" borderId="3" xfId="2" applyNumberFormat="1" applyAlignment="1">
      <alignment horizontal="right" indent="1"/>
    </xf>
    <xf numFmtId="0" fontId="22" fillId="17" borderId="28" xfId="0" applyFont="1" applyFill="1" applyBorder="1" applyAlignment="1">
      <alignment vertical="center" wrapText="1"/>
    </xf>
    <xf numFmtId="0" fontId="1" fillId="0" borderId="30" xfId="0" applyFont="1" applyBorder="1" applyAlignment="1">
      <alignment horizontal="left" indent="1"/>
    </xf>
    <xf numFmtId="0" fontId="21" fillId="18" borderId="34" xfId="0" applyFont="1" applyFill="1" applyBorder="1" applyAlignment="1">
      <alignment horizontal="left" vertical="center" wrapText="1" indent="1"/>
    </xf>
    <xf numFmtId="0" fontId="20" fillId="0" borderId="35" xfId="0" applyFont="1" applyBorder="1" applyAlignment="1">
      <alignment horizontal="left" vertical="center" wrapText="1" indent="1"/>
    </xf>
    <xf numFmtId="0" fontId="21" fillId="18" borderId="36" xfId="0" applyFont="1" applyFill="1" applyBorder="1" applyAlignment="1">
      <alignment horizontal="left" vertical="center" wrapText="1" indent="1"/>
    </xf>
    <xf numFmtId="0" fontId="20" fillId="0" borderId="37" xfId="0" applyFont="1" applyBorder="1" applyAlignment="1">
      <alignment horizontal="left" vertical="center" wrapText="1" indent="1"/>
    </xf>
    <xf numFmtId="0" fontId="21" fillId="18" borderId="38" xfId="0" applyFont="1" applyFill="1" applyBorder="1" applyAlignment="1">
      <alignment horizontal="left" vertical="center" wrapText="1" indent="1"/>
    </xf>
    <xf numFmtId="0" fontId="20" fillId="0" borderId="39" xfId="0" applyFont="1" applyBorder="1" applyAlignment="1">
      <alignment horizontal="left" vertical="center" wrapText="1" indent="1"/>
    </xf>
    <xf numFmtId="0" fontId="22" fillId="17" borderId="29" xfId="0" applyFont="1" applyFill="1" applyBorder="1" applyAlignment="1">
      <alignment horizontal="left" vertical="center" wrapText="1" indent="1"/>
    </xf>
    <xf numFmtId="0" fontId="22" fillId="17" borderId="28" xfId="0" applyFont="1" applyFill="1" applyBorder="1" applyAlignment="1">
      <alignment horizontal="left" vertical="center" wrapText="1"/>
    </xf>
    <xf numFmtId="0" fontId="21" fillId="18" borderId="36" xfId="0" applyFont="1" applyFill="1" applyBorder="1" applyAlignment="1">
      <alignment horizontal="left" vertical="center" wrapText="1" indent="1"/>
    </xf>
    <xf numFmtId="0" fontId="25" fillId="19" borderId="41" xfId="0" applyFont="1" applyFill="1" applyBorder="1" applyAlignment="1">
      <alignment horizontal="left" vertical="center" indent="1"/>
    </xf>
    <xf numFmtId="0" fontId="24" fillId="19" borderId="41" xfId="0" applyFont="1" applyFill="1" applyBorder="1" applyAlignment="1">
      <alignment horizontal="left" vertical="center" indent="1"/>
    </xf>
    <xf numFmtId="0" fontId="24" fillId="20" borderId="40" xfId="0" applyFont="1" applyFill="1" applyBorder="1" applyAlignment="1">
      <alignment horizontal="left" vertical="center" indent="1"/>
    </xf>
    <xf numFmtId="0" fontId="3" fillId="6" borderId="3" xfId="2" applyAlignment="1">
      <alignment horizontal="center"/>
    </xf>
    <xf numFmtId="0" fontId="3" fillId="6" borderId="3" xfId="2" applyNumberFormat="1" applyAlignment="1">
      <alignment horizontal="center" shrinkToFit="1"/>
    </xf>
    <xf numFmtId="0" fontId="2" fillId="5" borderId="2" xfId="1" applyAlignment="1">
      <alignment horizontal="right" indent="1" shrinkToFit="1"/>
    </xf>
    <xf numFmtId="181" fontId="0" fillId="0" borderId="0" xfId="0" applyNumberFormat="1" applyAlignment="1">
      <alignment horizontal="left" indent="1"/>
    </xf>
    <xf numFmtId="0" fontId="0" fillId="21" borderId="4" xfId="0" applyFill="1" applyBorder="1"/>
    <xf numFmtId="0" fontId="1" fillId="0" borderId="1" xfId="0" applyFont="1" applyBorder="1" applyAlignment="1">
      <alignment horizontal="left" wrapText="1" indent="1"/>
    </xf>
    <xf numFmtId="0" fontId="0" fillId="21" borderId="4" xfId="0" applyFill="1" applyBorder="1" applyAlignment="1">
      <alignment horizontal="right" vertical="center" indent="1" shrinkToFit="1"/>
    </xf>
    <xf numFmtId="182" fontId="0" fillId="0" borderId="0" xfId="0" applyNumberFormat="1" applyAlignment="1">
      <alignment horizontal="left" indent="1"/>
    </xf>
    <xf numFmtId="182" fontId="0" fillId="21" borderId="43" xfId="0" applyNumberFormat="1" applyFill="1" applyBorder="1"/>
    <xf numFmtId="182" fontId="0" fillId="21" borderId="44" xfId="0" applyNumberFormat="1" applyFill="1" applyBorder="1"/>
    <xf numFmtId="0" fontId="0" fillId="21" borderId="43" xfId="0" applyFill="1" applyBorder="1"/>
    <xf numFmtId="0" fontId="0" fillId="21" borderId="44" xfId="0" applyFill="1" applyBorder="1"/>
    <xf numFmtId="0" fontId="0" fillId="0" borderId="0" xfId="0" applyBorder="1" applyAlignment="1">
      <alignment horizontal="left" vertical="center" indent="1" shrinkToFit="1"/>
    </xf>
    <xf numFmtId="0" fontId="0" fillId="0" borderId="0" xfId="0" applyAlignment="1">
      <alignment horizontal="right" vertical="center" indent="1"/>
    </xf>
    <xf numFmtId="183" fontId="3" fillId="6" borderId="3" xfId="2" applyNumberFormat="1" applyAlignment="1">
      <alignment horizontal="left" indent="1"/>
    </xf>
    <xf numFmtId="0" fontId="2" fillId="3" borderId="0" xfId="1" applyFill="1" applyBorder="1" applyAlignment="1">
      <alignment horizontal="left" indent="1"/>
    </xf>
    <xf numFmtId="0" fontId="3" fillId="3" borderId="0" xfId="2" applyFill="1" applyBorder="1" applyAlignment="1">
      <alignment horizontal="left" indent="1"/>
    </xf>
    <xf numFmtId="0" fontId="3" fillId="6" borderId="3" xfId="2" applyBorder="1" applyAlignment="1">
      <alignment horizontal="left" indent="1"/>
    </xf>
    <xf numFmtId="0" fontId="26" fillId="3" borderId="0" xfId="0" applyFont="1" applyFill="1" applyAlignment="1">
      <alignment horizontal="left" indent="2"/>
    </xf>
    <xf numFmtId="0" fontId="27" fillId="3" borderId="0" xfId="0" applyFont="1" applyFill="1" applyAlignment="1">
      <alignment horizontal="left" indent="2"/>
    </xf>
    <xf numFmtId="0" fontId="1" fillId="3" borderId="0" xfId="0" applyFont="1" applyFill="1" applyAlignment="1">
      <alignment horizontal="left" indent="5"/>
    </xf>
    <xf numFmtId="0" fontId="30" fillId="9" borderId="47" xfId="0" applyFont="1" applyFill="1" applyBorder="1" applyAlignment="1">
      <alignment vertical="center" wrapText="1"/>
    </xf>
    <xf numFmtId="0" fontId="30" fillId="9" borderId="7" xfId="0" applyFont="1" applyFill="1" applyBorder="1" applyAlignment="1">
      <alignment vertical="center" wrapText="1"/>
    </xf>
    <xf numFmtId="0" fontId="30" fillId="22" borderId="47" xfId="0" applyFont="1" applyFill="1" applyBorder="1" applyAlignment="1">
      <alignment vertical="center" wrapText="1"/>
    </xf>
    <xf numFmtId="0" fontId="30" fillId="22" borderId="7" xfId="0" applyFont="1" applyFill="1" applyBorder="1" applyAlignment="1">
      <alignment vertical="center" wrapText="1"/>
    </xf>
    <xf numFmtId="0" fontId="30" fillId="0" borderId="47" xfId="0" applyFont="1" applyBorder="1" applyAlignment="1">
      <alignment vertical="center" wrapText="1"/>
    </xf>
    <xf numFmtId="0" fontId="30" fillId="0" borderId="7" xfId="0" applyFont="1" applyBorder="1" applyAlignment="1">
      <alignment vertical="center" wrapText="1"/>
    </xf>
    <xf numFmtId="0" fontId="30" fillId="0" borderId="46" xfId="0" applyFont="1" applyBorder="1" applyAlignment="1">
      <alignment horizontal="center" vertical="center" wrapText="1"/>
    </xf>
    <xf numFmtId="0" fontId="30" fillId="9" borderId="7"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0" fillId="23" borderId="7" xfId="0" applyFont="1" applyFill="1" applyBorder="1" applyAlignment="1">
      <alignment horizontal="center" vertical="center" wrapText="1"/>
    </xf>
    <xf numFmtId="0" fontId="30" fillId="0" borderId="46" xfId="0" applyFont="1" applyBorder="1" applyAlignment="1">
      <alignment horizontal="left" vertical="center" wrapText="1" indent="1"/>
    </xf>
    <xf numFmtId="184" fontId="30" fillId="9" borderId="9" xfId="0" applyNumberFormat="1" applyFont="1" applyFill="1" applyBorder="1" applyAlignment="1">
      <alignment horizontal="right" vertical="center" shrinkToFit="1"/>
    </xf>
    <xf numFmtId="184" fontId="30" fillId="9" borderId="54" xfId="0" applyNumberFormat="1" applyFont="1" applyFill="1" applyBorder="1" applyAlignment="1">
      <alignment horizontal="right" vertical="center" shrinkToFit="1"/>
    </xf>
    <xf numFmtId="0" fontId="0" fillId="0" borderId="0" xfId="0" applyAlignment="1">
      <alignment horizontal="left" vertical="center" wrapText="1" indent="7"/>
    </xf>
    <xf numFmtId="0" fontId="0" fillId="0" borderId="0" xfId="0" applyAlignment="1">
      <alignment horizontal="left" vertical="center" wrapText="1" indent="13"/>
    </xf>
    <xf numFmtId="0" fontId="1" fillId="0" borderId="0" xfId="0" applyFont="1" applyAlignment="1">
      <alignment horizontal="right" vertical="center" indent="1"/>
    </xf>
    <xf numFmtId="0" fontId="1" fillId="0" borderId="0" xfId="0" applyFont="1" applyAlignment="1">
      <alignment horizontal="left" vertical="center" indent="1"/>
    </xf>
    <xf numFmtId="2" fontId="0" fillId="0" borderId="0" xfId="0" applyNumberFormat="1" applyAlignment="1">
      <alignment horizontal="center" vertical="center" shrinkToFit="1"/>
    </xf>
    <xf numFmtId="185" fontId="0" fillId="0" borderId="11" xfId="0" applyNumberFormat="1" applyBorder="1" applyAlignment="1">
      <alignment horizontal="left" vertical="center" indent="1" shrinkToFi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 fillId="3" borderId="0" xfId="0" applyFont="1" applyFill="1" applyAlignment="1">
      <alignment horizontal="left" indent="1"/>
    </xf>
    <xf numFmtId="0" fontId="2" fillId="3" borderId="0" xfId="1" quotePrefix="1" applyFill="1" applyBorder="1" applyAlignment="1">
      <alignment horizontal="left"/>
    </xf>
    <xf numFmtId="0" fontId="2" fillId="3" borderId="0" xfId="1" quotePrefix="1" applyFill="1" applyBorder="1" applyAlignment="1">
      <alignment horizontal="left" indent="4"/>
    </xf>
    <xf numFmtId="0" fontId="18" fillId="3" borderId="0" xfId="0" applyFont="1" applyFill="1" applyAlignment="1">
      <alignment horizontal="left" indent="1"/>
    </xf>
    <xf numFmtId="0" fontId="0" fillId="0" borderId="0" xfId="0" applyAlignment="1">
      <alignment horizontal="left" indent="2"/>
    </xf>
    <xf numFmtId="0" fontId="0" fillId="0" borderId="0" xfId="0" applyAlignment="1">
      <alignment horizontal="left" indent="3"/>
    </xf>
    <xf numFmtId="0" fontId="1" fillId="0" borderId="0" xfId="0" applyFont="1" applyAlignment="1">
      <alignment horizontal="left" indent="2"/>
    </xf>
    <xf numFmtId="0" fontId="1" fillId="25" borderId="1" xfId="0" applyFont="1" applyFill="1" applyBorder="1" applyAlignment="1">
      <alignment horizontal="left" indent="1"/>
    </xf>
    <xf numFmtId="0" fontId="0" fillId="25" borderId="1" xfId="0" applyFill="1" applyBorder="1"/>
    <xf numFmtId="0" fontId="19" fillId="0" borderId="0" xfId="0" applyFont="1" applyAlignment="1">
      <alignment horizontal="left" indent="1"/>
    </xf>
    <xf numFmtId="186" fontId="2" fillId="5" borderId="2" xfId="1" applyNumberFormat="1" applyAlignment="1">
      <alignment horizontal="center"/>
    </xf>
    <xf numFmtId="187" fontId="33" fillId="6" borderId="3" xfId="2" applyNumberFormat="1" applyFont="1" applyAlignment="1">
      <alignment horizontal="right" indent="1" shrinkToFit="1"/>
    </xf>
    <xf numFmtId="0" fontId="2" fillId="5" borderId="2" xfId="1" applyAlignment="1">
      <alignment horizontal="center"/>
    </xf>
    <xf numFmtId="184" fontId="33" fillId="6" borderId="3" xfId="2" applyNumberFormat="1" applyFont="1" applyAlignment="1">
      <alignment horizontal="center" shrinkToFit="1"/>
    </xf>
    <xf numFmtId="188" fontId="33" fillId="6" borderId="3" xfId="2" applyNumberFormat="1" applyFont="1" applyAlignment="1">
      <alignment horizontal="center" shrinkToFit="1"/>
    </xf>
    <xf numFmtId="9" fontId="33" fillId="6" borderId="57" xfId="2" applyNumberFormat="1" applyFont="1" applyBorder="1" applyAlignment="1">
      <alignment horizontal="right" indent="1"/>
    </xf>
    <xf numFmtId="184" fontId="3" fillId="6" borderId="58" xfId="2" applyNumberFormat="1" applyBorder="1" applyAlignment="1">
      <alignment horizontal="center" shrinkToFit="1"/>
    </xf>
    <xf numFmtId="189" fontId="0" fillId="0" borderId="0" xfId="0" applyNumberFormat="1" applyAlignment="1">
      <alignment horizontal="center" vertical="center" shrinkToFit="1"/>
    </xf>
    <xf numFmtId="0" fontId="1" fillId="0" borderId="59" xfId="0" applyFont="1" applyBorder="1" applyAlignment="1">
      <alignment horizontal="left" wrapText="1" indent="1"/>
    </xf>
    <xf numFmtId="0" fontId="30" fillId="0" borderId="60" xfId="0" applyFont="1" applyBorder="1" applyAlignment="1">
      <alignment horizontal="left" wrapText="1" indent="1"/>
    </xf>
    <xf numFmtId="190" fontId="30" fillId="23" borderId="61" xfId="0" applyNumberFormat="1" applyFont="1" applyFill="1" applyBorder="1" applyAlignment="1">
      <alignment horizontal="right" vertical="center" indent="1" shrinkToFit="1"/>
    </xf>
    <xf numFmtId="190" fontId="30" fillId="22" borderId="62" xfId="0" applyNumberFormat="1" applyFont="1" applyFill="1" applyBorder="1" applyAlignment="1">
      <alignment horizontal="right" vertical="center" indent="1" shrinkToFit="1"/>
    </xf>
    <xf numFmtId="190" fontId="30" fillId="9" borderId="62" xfId="0" applyNumberFormat="1" applyFont="1" applyFill="1" applyBorder="1" applyAlignment="1">
      <alignment horizontal="right" vertical="center" indent="1" shrinkToFit="1"/>
    </xf>
    <xf numFmtId="190" fontId="30" fillId="11" borderId="62" xfId="0" applyNumberFormat="1" applyFont="1" applyFill="1" applyBorder="1" applyAlignment="1">
      <alignment horizontal="right" vertical="center" indent="1" shrinkToFit="1"/>
    </xf>
    <xf numFmtId="190" fontId="30" fillId="23" borderId="63" xfId="0" applyNumberFormat="1" applyFont="1" applyFill="1" applyBorder="1" applyAlignment="1">
      <alignment horizontal="right" vertical="center" indent="1" shrinkToFit="1"/>
    </xf>
    <xf numFmtId="191" fontId="30" fillId="0" borderId="64" xfId="0" applyNumberFormat="1" applyFont="1" applyBorder="1" applyAlignment="1">
      <alignment horizontal="right" vertical="center" wrapText="1" indent="1"/>
    </xf>
    <xf numFmtId="184" fontId="30" fillId="23" borderId="48" xfId="0" applyNumberFormat="1" applyFont="1" applyFill="1" applyBorder="1" applyAlignment="1">
      <alignment horizontal="right" vertical="center" shrinkToFit="1"/>
    </xf>
    <xf numFmtId="184" fontId="30" fillId="9" borderId="49" xfId="0" applyNumberFormat="1" applyFont="1" applyFill="1" applyBorder="1" applyAlignment="1">
      <alignment horizontal="right" vertical="center" shrinkToFit="1"/>
    </xf>
    <xf numFmtId="184" fontId="30" fillId="23" borderId="49" xfId="0" applyNumberFormat="1" applyFont="1" applyFill="1" applyBorder="1" applyAlignment="1">
      <alignment horizontal="right" vertical="center" shrinkToFit="1"/>
    </xf>
    <xf numFmtId="184" fontId="30" fillId="23" borderId="50" xfId="0" applyNumberFormat="1" applyFont="1" applyFill="1" applyBorder="1" applyAlignment="1">
      <alignment horizontal="right" vertical="center" shrinkToFit="1"/>
    </xf>
    <xf numFmtId="191" fontId="30" fillId="0" borderId="66" xfId="0" applyNumberFormat="1" applyFont="1" applyBorder="1" applyAlignment="1">
      <alignment horizontal="right" vertical="center" wrapText="1" indent="1"/>
    </xf>
    <xf numFmtId="184" fontId="30" fillId="23" borderId="51" xfId="0" applyNumberFormat="1" applyFont="1" applyFill="1" applyBorder="1" applyAlignment="1">
      <alignment horizontal="right" vertical="center" shrinkToFit="1"/>
    </xf>
    <xf numFmtId="184" fontId="30" fillId="22" borderId="9" xfId="0" applyNumberFormat="1" applyFont="1" applyFill="1" applyBorder="1" applyAlignment="1">
      <alignment horizontal="right" vertical="center" shrinkToFit="1"/>
    </xf>
    <xf numFmtId="184" fontId="30" fillId="23" borderId="52" xfId="0" applyNumberFormat="1" applyFont="1" applyFill="1" applyBorder="1" applyAlignment="1">
      <alignment horizontal="right" vertical="center" shrinkToFit="1"/>
    </xf>
    <xf numFmtId="191" fontId="30" fillId="0" borderId="67" xfId="0" applyNumberFormat="1" applyFont="1" applyBorder="1" applyAlignment="1">
      <alignment horizontal="right" vertical="center" wrapText="1" indent="1"/>
    </xf>
    <xf numFmtId="184" fontId="30" fillId="23" borderId="53" xfId="0" applyNumberFormat="1" applyFont="1" applyFill="1" applyBorder="1" applyAlignment="1">
      <alignment horizontal="right" vertical="center" shrinkToFit="1"/>
    </xf>
    <xf numFmtId="184" fontId="30" fillId="22" borderId="54" xfId="0" applyNumberFormat="1" applyFont="1" applyFill="1" applyBorder="1" applyAlignment="1">
      <alignment horizontal="right" vertical="center" shrinkToFit="1"/>
    </xf>
    <xf numFmtId="184" fontId="30" fillId="11" borderId="54" xfId="0" applyNumberFormat="1" applyFont="1" applyFill="1" applyBorder="1" applyAlignment="1">
      <alignment horizontal="right" vertical="center" shrinkToFit="1"/>
    </xf>
    <xf numFmtId="184" fontId="30" fillId="23" borderId="55" xfId="0" applyNumberFormat="1" applyFont="1" applyFill="1" applyBorder="1" applyAlignment="1">
      <alignment horizontal="right" vertical="center" shrinkToFit="1"/>
    </xf>
    <xf numFmtId="0" fontId="34" fillId="0" borderId="0" xfId="0" applyFont="1"/>
    <xf numFmtId="0" fontId="34" fillId="0" borderId="16" xfId="0" applyFont="1" applyBorder="1"/>
    <xf numFmtId="0" fontId="34" fillId="0" borderId="56" xfId="0" applyFont="1" applyBorder="1"/>
    <xf numFmtId="0" fontId="34" fillId="0" borderId="15" xfId="0" applyFont="1" applyBorder="1"/>
    <xf numFmtId="190" fontId="30" fillId="23" borderId="53" xfId="0" applyNumberFormat="1" applyFont="1" applyFill="1" applyBorder="1" applyAlignment="1">
      <alignment horizontal="right" vertical="center" indent="1" shrinkToFit="1"/>
    </xf>
    <xf numFmtId="190" fontId="30" fillId="22" borderId="54" xfId="0" applyNumberFormat="1" applyFont="1" applyFill="1" applyBorder="1" applyAlignment="1">
      <alignment horizontal="right" vertical="center" indent="1" shrinkToFit="1"/>
    </xf>
    <xf numFmtId="190" fontId="30" fillId="9" borderId="54" xfId="0" applyNumberFormat="1" applyFont="1" applyFill="1" applyBorder="1" applyAlignment="1">
      <alignment horizontal="right" vertical="center" indent="1" shrinkToFit="1"/>
    </xf>
    <xf numFmtId="190" fontId="30" fillId="11" borderId="54" xfId="0" applyNumberFormat="1" applyFont="1" applyFill="1" applyBorder="1" applyAlignment="1">
      <alignment horizontal="right" vertical="center" indent="1" shrinkToFit="1"/>
    </xf>
    <xf numFmtId="190" fontId="30" fillId="23" borderId="55" xfId="0" applyNumberFormat="1" applyFont="1" applyFill="1" applyBorder="1" applyAlignment="1">
      <alignment horizontal="right" vertical="center" indent="1" shrinkToFit="1"/>
    </xf>
    <xf numFmtId="0" fontId="0" fillId="0" borderId="68" xfId="0" applyBorder="1" applyAlignment="1">
      <alignment horizontal="left" indent="1"/>
    </xf>
    <xf numFmtId="0" fontId="30" fillId="0" borderId="64" xfId="0" applyFont="1" applyBorder="1" applyAlignment="1">
      <alignment horizontal="left" vertical="center" wrapText="1" indent="1"/>
    </xf>
    <xf numFmtId="188" fontId="30" fillId="23" borderId="48" xfId="0" applyNumberFormat="1" applyFont="1" applyFill="1" applyBorder="1" applyAlignment="1">
      <alignment horizontal="right" vertical="center" shrinkToFit="1"/>
    </xf>
    <xf numFmtId="188" fontId="30" fillId="9" borderId="49" xfId="0" applyNumberFormat="1" applyFont="1" applyFill="1" applyBorder="1" applyAlignment="1">
      <alignment horizontal="right" vertical="center" shrinkToFit="1"/>
    </xf>
    <xf numFmtId="188" fontId="30" fillId="23" borderId="49" xfId="0" applyNumberFormat="1" applyFont="1" applyFill="1" applyBorder="1" applyAlignment="1">
      <alignment horizontal="right" vertical="center" shrinkToFit="1"/>
    </xf>
    <xf numFmtId="188" fontId="30" fillId="23" borderId="50" xfId="0" applyNumberFormat="1" applyFont="1" applyFill="1" applyBorder="1" applyAlignment="1">
      <alignment horizontal="right" vertical="center" shrinkToFit="1"/>
    </xf>
    <xf numFmtId="0" fontId="0" fillId="0" borderId="69" xfId="0" applyBorder="1" applyAlignment="1">
      <alignment horizontal="left" indent="1"/>
    </xf>
    <xf numFmtId="0" fontId="30" fillId="0" borderId="66" xfId="0" applyFont="1" applyBorder="1" applyAlignment="1">
      <alignment horizontal="left" vertical="center" wrapText="1" indent="1"/>
    </xf>
    <xf numFmtId="188" fontId="30" fillId="23" borderId="51" xfId="0" applyNumberFormat="1" applyFont="1" applyFill="1" applyBorder="1" applyAlignment="1">
      <alignment horizontal="right" vertical="center" shrinkToFit="1"/>
    </xf>
    <xf numFmtId="188" fontId="30" fillId="9" borderId="9" xfId="0" applyNumberFormat="1" applyFont="1" applyFill="1" applyBorder="1" applyAlignment="1">
      <alignment horizontal="right" vertical="center" shrinkToFit="1"/>
    </xf>
    <xf numFmtId="188" fontId="30" fillId="24" borderId="9" xfId="0" applyNumberFormat="1" applyFont="1" applyFill="1" applyBorder="1" applyAlignment="1">
      <alignment horizontal="right" vertical="center" shrinkToFit="1"/>
    </xf>
    <xf numFmtId="188" fontId="30" fillId="23" borderId="52" xfId="0" applyNumberFormat="1" applyFont="1" applyFill="1" applyBorder="1" applyAlignment="1">
      <alignment horizontal="right" vertical="center" shrinkToFit="1"/>
    </xf>
    <xf numFmtId="0" fontId="0" fillId="0" borderId="70" xfId="0" applyBorder="1" applyAlignment="1">
      <alignment horizontal="left" indent="1"/>
    </xf>
    <xf numFmtId="0" fontId="30" fillId="0" borderId="67" xfId="0" applyFont="1" applyBorder="1" applyAlignment="1">
      <alignment horizontal="left" vertical="center" wrapText="1" indent="1"/>
    </xf>
    <xf numFmtId="188" fontId="30" fillId="23" borderId="53" xfId="0" applyNumberFormat="1" applyFont="1" applyFill="1" applyBorder="1" applyAlignment="1">
      <alignment horizontal="right" vertical="center" shrinkToFit="1"/>
    </xf>
    <xf numFmtId="188" fontId="30" fillId="22" borderId="54" xfId="0" applyNumberFormat="1" applyFont="1" applyFill="1" applyBorder="1" applyAlignment="1">
      <alignment horizontal="right" vertical="center" shrinkToFit="1"/>
    </xf>
    <xf numFmtId="188" fontId="30" fillId="9" borderId="54" xfId="0" applyNumberFormat="1" applyFont="1" applyFill="1" applyBorder="1" applyAlignment="1">
      <alignment horizontal="right" vertical="center" shrinkToFit="1"/>
    </xf>
    <xf numFmtId="188" fontId="30" fillId="11" borderId="54" xfId="0" applyNumberFormat="1" applyFont="1" applyFill="1" applyBorder="1" applyAlignment="1">
      <alignment horizontal="right" vertical="center" shrinkToFit="1"/>
    </xf>
    <xf numFmtId="188" fontId="30" fillId="23" borderId="55" xfId="0" applyNumberFormat="1" applyFont="1" applyFill="1" applyBorder="1" applyAlignment="1">
      <alignment horizontal="right" vertical="center" shrinkToFit="1"/>
    </xf>
    <xf numFmtId="0" fontId="0" fillId="25" borderId="0" xfId="0" applyFill="1"/>
    <xf numFmtId="0" fontId="0" fillId="25" borderId="0" xfId="0" applyFill="1" applyAlignment="1">
      <alignment horizontal="right" indent="1"/>
    </xf>
    <xf numFmtId="0" fontId="17" fillId="25" borderId="0" xfId="3" applyFill="1" applyAlignment="1">
      <alignment horizontal="right" indent="1"/>
    </xf>
    <xf numFmtId="0" fontId="1" fillId="0" borderId="1" xfId="0" applyFont="1" applyBorder="1" applyAlignment="1">
      <alignment horizontal="right" indent="1"/>
    </xf>
    <xf numFmtId="0" fontId="0" fillId="0" borderId="1" xfId="0" applyBorder="1"/>
    <xf numFmtId="0" fontId="29" fillId="0" borderId="1" xfId="0" applyFont="1" applyBorder="1" applyAlignment="1">
      <alignment horizontal="left" vertical="center" indent="1"/>
    </xf>
    <xf numFmtId="9" fontId="0" fillId="0" borderId="0" xfId="0" applyNumberFormat="1" applyAlignment="1">
      <alignment horizontal="right" indent="1"/>
    </xf>
    <xf numFmtId="0" fontId="0" fillId="0" borderId="0" xfId="0" applyAlignment="1">
      <alignment horizontal="left" indent="1" shrinkToFit="1"/>
    </xf>
    <xf numFmtId="0" fontId="0" fillId="0" borderId="13" xfId="0" applyBorder="1"/>
    <xf numFmtId="0" fontId="0" fillId="0" borderId="13" xfId="0" applyBorder="1" applyAlignment="1">
      <alignment horizontal="left" indent="1"/>
    </xf>
    <xf numFmtId="0" fontId="30" fillId="0" borderId="7" xfId="0" applyFont="1" applyBorder="1" applyAlignment="1">
      <alignment horizontal="center" vertical="center" wrapText="1"/>
    </xf>
    <xf numFmtId="0" fontId="30" fillId="0" borderId="7" xfId="0" applyFont="1" applyBorder="1" applyAlignment="1">
      <alignment horizontal="left" vertical="center" wrapText="1" indent="1"/>
    </xf>
    <xf numFmtId="192" fontId="30" fillId="9" borderId="7" xfId="0" applyNumberFormat="1" applyFont="1" applyFill="1" applyBorder="1" applyAlignment="1">
      <alignment horizontal="center" vertical="center" wrapText="1"/>
    </xf>
    <xf numFmtId="192" fontId="30" fillId="22" borderId="7" xfId="0" applyNumberFormat="1" applyFont="1" applyFill="1" applyBorder="1" applyAlignment="1">
      <alignment horizontal="center" vertical="center" wrapText="1"/>
    </xf>
    <xf numFmtId="192" fontId="30" fillId="11" borderId="7" xfId="0" applyNumberFormat="1" applyFont="1" applyFill="1" applyBorder="1" applyAlignment="1">
      <alignment horizontal="center" vertical="center" wrapText="1"/>
    </xf>
    <xf numFmtId="0" fontId="35" fillId="0" borderId="1" xfId="0" applyFont="1" applyFill="1" applyBorder="1" applyAlignment="1">
      <alignment horizontal="left" vertical="center" wrapText="1" indent="1"/>
    </xf>
    <xf numFmtId="0" fontId="30" fillId="0" borderId="0" xfId="0" applyFont="1" applyFill="1" applyBorder="1" applyAlignment="1">
      <alignment horizontal="left" vertical="center" wrapText="1" indent="1"/>
    </xf>
    <xf numFmtId="0" fontId="38" fillId="0" borderId="0" xfId="0" applyFont="1" applyAlignment="1">
      <alignment horizontal="left" vertical="center" wrapText="1" indent="1"/>
    </xf>
    <xf numFmtId="0" fontId="39" fillId="7" borderId="4" xfId="0" applyFont="1" applyFill="1" applyBorder="1" applyAlignment="1">
      <alignment horizontal="left" vertical="center" indent="1"/>
    </xf>
    <xf numFmtId="0" fontId="0" fillId="3" borderId="0" xfId="0" applyFill="1" applyAlignment="1">
      <alignment horizontal="right" wrapText="1" indent="1"/>
    </xf>
    <xf numFmtId="0" fontId="40" fillId="0" borderId="0" xfId="4"/>
    <xf numFmtId="0" fontId="41" fillId="9" borderId="0" xfId="4" applyFont="1" applyFill="1" applyAlignment="1">
      <alignment horizontal="center"/>
    </xf>
    <xf numFmtId="0" fontId="1" fillId="0" borderId="0" xfId="4" applyFont="1" applyAlignment="1">
      <alignment horizontal="left" indent="1"/>
    </xf>
    <xf numFmtId="0" fontId="40" fillId="3" borderId="13" xfId="4" applyFill="1" applyBorder="1" applyAlignment="1"/>
    <xf numFmtId="0" fontId="40" fillId="3" borderId="14" xfId="4" applyFill="1" applyBorder="1" applyAlignment="1"/>
    <xf numFmtId="0" fontId="40" fillId="0" borderId="0" xfId="4" applyAlignment="1"/>
    <xf numFmtId="0" fontId="40" fillId="0" borderId="0" xfId="4" applyAlignment="1">
      <alignment horizontal="right" indent="1"/>
    </xf>
    <xf numFmtId="0" fontId="42" fillId="0" borderId="0" xfId="4" applyFont="1"/>
    <xf numFmtId="0" fontId="40" fillId="3" borderId="15" xfId="4" applyFill="1" applyBorder="1" applyAlignment="1"/>
    <xf numFmtId="0" fontId="40" fillId="4" borderId="13" xfId="4" applyFill="1" applyBorder="1" applyAlignment="1"/>
    <xf numFmtId="0" fontId="40" fillId="4" borderId="14" xfId="4" applyFill="1" applyBorder="1" applyAlignment="1"/>
    <xf numFmtId="0" fontId="40" fillId="4" borderId="15" xfId="4" applyFill="1" applyBorder="1" applyAlignment="1"/>
    <xf numFmtId="0" fontId="40" fillId="3" borderId="15" xfId="4" applyFill="1" applyBorder="1" applyAlignment="1">
      <alignment horizontal="left"/>
    </xf>
    <xf numFmtId="0" fontId="1" fillId="0" borderId="1" xfId="4" applyFont="1" applyBorder="1" applyAlignment="1">
      <alignment horizontal="left" indent="1"/>
    </xf>
    <xf numFmtId="9" fontId="40" fillId="3" borderId="72" xfId="4" applyNumberFormat="1" applyFill="1" applyBorder="1" applyAlignment="1">
      <alignment horizontal="center" vertical="center"/>
    </xf>
    <xf numFmtId="9" fontId="40" fillId="4" borderId="72" xfId="4" applyNumberFormat="1" applyFill="1" applyBorder="1" applyAlignment="1">
      <alignment horizontal="center" vertical="center"/>
    </xf>
    <xf numFmtId="0" fontId="1" fillId="3" borderId="73" xfId="4" applyFont="1" applyFill="1" applyBorder="1" applyAlignment="1">
      <alignment horizontal="left" indent="1"/>
    </xf>
    <xf numFmtId="0" fontId="40" fillId="0" borderId="1" xfId="4" applyBorder="1"/>
    <xf numFmtId="0" fontId="43" fillId="0" borderId="0" xfId="4" applyFont="1" applyAlignment="1">
      <alignment horizontal="left" vertical="center" indent="1"/>
    </xf>
    <xf numFmtId="0" fontId="40" fillId="0" borderId="0" xfId="4" applyAlignment="1">
      <alignment horizontal="left" indent="1"/>
    </xf>
    <xf numFmtId="0" fontId="40" fillId="0" borderId="0" xfId="4" applyFont="1" applyAlignment="1">
      <alignment horizontal="left" vertical="center" indent="1"/>
    </xf>
    <xf numFmtId="0" fontId="40" fillId="0" borderId="75" xfId="4" applyBorder="1"/>
    <xf numFmtId="0" fontId="45" fillId="0" borderId="0" xfId="4" applyFont="1" applyAlignment="1">
      <alignment horizontal="left" vertical="center" indent="1"/>
    </xf>
    <xf numFmtId="0" fontId="40" fillId="3" borderId="12" xfId="4" applyFill="1" applyBorder="1"/>
    <xf numFmtId="0" fontId="40" fillId="4" borderId="12" xfId="4" applyFill="1" applyBorder="1"/>
    <xf numFmtId="0" fontId="43" fillId="0" borderId="0" xfId="4" applyFont="1" applyAlignment="1">
      <alignment horizontal="left" vertical="center" wrapText="1" indent="1"/>
    </xf>
    <xf numFmtId="0" fontId="40" fillId="3" borderId="15" xfId="4" applyFill="1" applyBorder="1"/>
    <xf numFmtId="0" fontId="40" fillId="4" borderId="15" xfId="4" applyFill="1" applyBorder="1"/>
    <xf numFmtId="0" fontId="40" fillId="0" borderId="77" xfId="4" applyBorder="1"/>
    <xf numFmtId="0" fontId="40" fillId="0" borderId="78" xfId="4" applyBorder="1"/>
    <xf numFmtId="0" fontId="40" fillId="0" borderId="47" xfId="4" applyBorder="1"/>
    <xf numFmtId="0" fontId="40" fillId="0" borderId="79" xfId="4" applyBorder="1" applyAlignment="1">
      <alignment horizontal="right"/>
    </xf>
    <xf numFmtId="0" fontId="40" fillId="0" borderId="80" xfId="4" applyBorder="1"/>
    <xf numFmtId="0" fontId="40" fillId="0" borderId="81" xfId="4" applyBorder="1"/>
    <xf numFmtId="0" fontId="40" fillId="0" borderId="82" xfId="4" applyBorder="1" applyAlignment="1">
      <alignment horizontal="center" vertical="center"/>
    </xf>
    <xf numFmtId="9" fontId="40" fillId="0" borderId="56" xfId="4" applyNumberFormat="1" applyBorder="1"/>
    <xf numFmtId="9" fontId="40" fillId="0" borderId="83" xfId="4" applyNumberFormat="1" applyBorder="1" applyAlignment="1">
      <alignment vertical="center" shrinkToFit="1"/>
    </xf>
    <xf numFmtId="0" fontId="40" fillId="0" borderId="79" xfId="4" applyBorder="1" applyAlignment="1">
      <alignment horizontal="center" vertical="center"/>
    </xf>
    <xf numFmtId="9" fontId="40" fillId="0" borderId="80" xfId="4" applyNumberFormat="1" applyBorder="1"/>
    <xf numFmtId="0" fontId="0" fillId="3" borderId="12" xfId="4" applyFont="1" applyFill="1" applyBorder="1" applyAlignment="1">
      <alignment horizontal="left"/>
    </xf>
    <xf numFmtId="0" fontId="3" fillId="6" borderId="3" xfId="2" applyFont="1" applyAlignment="1">
      <alignment horizontal="left" indent="1" shrinkToFit="1"/>
    </xf>
    <xf numFmtId="193" fontId="2" fillId="5" borderId="2" xfId="1" applyNumberFormat="1" applyAlignment="1">
      <alignment horizontal="right" indent="1"/>
    </xf>
    <xf numFmtId="193" fontId="2" fillId="5" borderId="6" xfId="1" applyNumberFormat="1" applyBorder="1" applyAlignment="1">
      <alignment horizontal="left" indent="1"/>
    </xf>
    <xf numFmtId="0" fontId="39" fillId="0" borderId="74" xfId="4" applyNumberFormat="1" applyFont="1" applyBorder="1" applyAlignment="1">
      <alignment horizontal="center" vertical="center"/>
    </xf>
    <xf numFmtId="0" fontId="39" fillId="0" borderId="56" xfId="4" applyNumberFormat="1" applyFont="1" applyBorder="1" applyAlignment="1">
      <alignment horizontal="center" vertical="center"/>
    </xf>
    <xf numFmtId="0" fontId="0" fillId="0" borderId="0" xfId="4" applyFont="1" applyAlignment="1">
      <alignment horizontal="right" indent="1"/>
    </xf>
    <xf numFmtId="0" fontId="0" fillId="0" borderId="0" xfId="0" applyAlignment="1">
      <alignment horizontal="left" vertical="center" indent="1" shrinkToFit="1"/>
    </xf>
    <xf numFmtId="169" fontId="3" fillId="6" borderId="3" xfId="2" applyNumberFormat="1" applyAlignment="1">
      <alignment horizontal="left" indent="1" shrinkToFit="1"/>
    </xf>
    <xf numFmtId="0" fontId="40" fillId="0" borderId="14" xfId="4" applyBorder="1" applyAlignment="1"/>
    <xf numFmtId="0" fontId="40" fillId="0" borderId="16" xfId="4" applyBorder="1" applyAlignment="1"/>
    <xf numFmtId="0" fontId="40" fillId="0" borderId="18" xfId="4" applyBorder="1" applyAlignment="1"/>
    <xf numFmtId="0" fontId="0" fillId="0" borderId="0" xfId="0" applyAlignment="1">
      <alignment horizontal="left" vertical="center" indent="1" shrinkToFit="1"/>
    </xf>
    <xf numFmtId="0" fontId="46" fillId="0" borderId="84" xfId="0" applyFont="1" applyBorder="1" applyAlignment="1">
      <alignment horizontal="center" vertical="center" wrapText="1" readingOrder="1"/>
    </xf>
    <xf numFmtId="0" fontId="47" fillId="23" borderId="85" xfId="0" applyFont="1" applyFill="1" applyBorder="1" applyAlignment="1">
      <alignment horizontal="left" vertical="center" wrapText="1" indent="1" readingOrder="1"/>
    </xf>
    <xf numFmtId="0" fontId="47" fillId="23" borderId="86" xfId="0" applyFont="1" applyFill="1" applyBorder="1" applyAlignment="1">
      <alignment horizontal="left" vertical="center" wrapText="1" indent="1" readingOrder="1"/>
    </xf>
    <xf numFmtId="0" fontId="47" fillId="23" borderId="87" xfId="0" applyFont="1" applyFill="1" applyBorder="1" applyAlignment="1">
      <alignment horizontal="left" vertical="center" wrapText="1" indent="1" readingOrder="1"/>
    </xf>
    <xf numFmtId="0" fontId="47" fillId="26" borderId="85" xfId="0" applyFont="1" applyFill="1" applyBorder="1" applyAlignment="1">
      <alignment horizontal="left" vertical="center" wrapText="1" indent="1" readingOrder="1"/>
    </xf>
    <xf numFmtId="0" fontId="47" fillId="0" borderId="85" xfId="0" applyFont="1" applyBorder="1" applyAlignment="1">
      <alignment horizontal="center" vertical="center" wrapText="1" readingOrder="1"/>
    </xf>
    <xf numFmtId="0" fontId="47" fillId="26" borderId="87" xfId="0" applyFont="1" applyFill="1" applyBorder="1" applyAlignment="1">
      <alignment horizontal="left" vertical="center" wrapText="1" indent="1" readingOrder="1"/>
    </xf>
    <xf numFmtId="0" fontId="47" fillId="0" borderId="86" xfId="0" applyFont="1" applyBorder="1" applyAlignment="1">
      <alignment horizontal="center" vertical="center" wrapText="1" readingOrder="1"/>
    </xf>
    <xf numFmtId="0" fontId="47" fillId="22" borderId="85" xfId="0" applyFont="1" applyFill="1" applyBorder="1" applyAlignment="1">
      <alignment horizontal="left" vertical="center" wrapText="1" indent="1" readingOrder="1"/>
    </xf>
    <xf numFmtId="0" fontId="47" fillId="11" borderId="85" xfId="0" applyFont="1" applyFill="1" applyBorder="1" applyAlignment="1">
      <alignment horizontal="left" vertical="center" wrapText="1" indent="1" readingOrder="1"/>
    </xf>
    <xf numFmtId="0" fontId="48" fillId="22" borderId="86" xfId="0" applyFont="1" applyFill="1" applyBorder="1" applyAlignment="1">
      <alignment horizontal="left" vertical="center" wrapText="1" indent="1" readingOrder="1"/>
    </xf>
    <xf numFmtId="0" fontId="47" fillId="11" borderId="86" xfId="0" applyFont="1" applyFill="1" applyBorder="1" applyAlignment="1">
      <alignment horizontal="left" vertical="center" wrapText="1" indent="1" readingOrder="1"/>
    </xf>
    <xf numFmtId="0" fontId="0" fillId="22" borderId="87" xfId="0" applyFont="1" applyFill="1" applyBorder="1" applyAlignment="1">
      <alignment horizontal="left" vertical="center" wrapText="1" indent="1"/>
    </xf>
    <xf numFmtId="0" fontId="47" fillId="11" borderId="87" xfId="0" applyFont="1" applyFill="1" applyBorder="1" applyAlignment="1">
      <alignment horizontal="left" vertical="center" wrapText="1" indent="1" readingOrder="1"/>
    </xf>
    <xf numFmtId="0" fontId="47" fillId="0" borderId="84" xfId="0" applyFont="1" applyBorder="1" applyAlignment="1">
      <alignment horizontal="center" vertical="center" wrapText="1" readingOrder="1"/>
    </xf>
    <xf numFmtId="0" fontId="49" fillId="0" borderId="84" xfId="0" applyFont="1" applyBorder="1" applyAlignment="1">
      <alignment horizontal="left" vertical="center" wrapText="1" indent="1" readingOrder="1"/>
    </xf>
    <xf numFmtId="0" fontId="47" fillId="0" borderId="84" xfId="0" applyFont="1" applyBorder="1" applyAlignment="1">
      <alignment horizontal="left" vertical="center" wrapText="1" indent="1" readingOrder="1"/>
    </xf>
    <xf numFmtId="0" fontId="47" fillId="11" borderId="84" xfId="0" applyFont="1" applyFill="1" applyBorder="1" applyAlignment="1">
      <alignment horizontal="left" vertical="center" wrapText="1" indent="1" readingOrder="1"/>
    </xf>
    <xf numFmtId="0" fontId="2" fillId="5" borderId="6" xfId="1" applyBorder="1" applyAlignment="1">
      <alignment horizontal="left" indent="1"/>
    </xf>
    <xf numFmtId="0" fontId="3" fillId="6" borderId="3" xfId="2" applyAlignment="1">
      <alignment horizontal="right" indent="1" shrinkToFit="1"/>
    </xf>
    <xf numFmtId="0" fontId="0" fillId="0" borderId="0" xfId="0" applyFill="1" applyBorder="1" applyAlignment="1">
      <alignment horizontal="right" indent="1" shrinkToFit="1"/>
    </xf>
    <xf numFmtId="194" fontId="3" fillId="6" borderId="3" xfId="2" applyNumberFormat="1" applyAlignment="1">
      <alignment horizontal="right" indent="1" shrinkToFit="1"/>
    </xf>
    <xf numFmtId="0" fontId="0" fillId="0" borderId="0" xfId="0" applyBorder="1" applyAlignment="1">
      <alignment horizontal="left" indent="1" shrinkToFit="1"/>
    </xf>
    <xf numFmtId="0" fontId="1" fillId="0" borderId="72" xfId="0" applyFont="1" applyBorder="1" applyAlignment="1">
      <alignment horizontal="left" indent="1"/>
    </xf>
    <xf numFmtId="0" fontId="0" fillId="0" borderId="15" xfId="0" applyBorder="1" applyAlignment="1">
      <alignment horizontal="left" indent="1" shrinkToFit="1"/>
    </xf>
    <xf numFmtId="0" fontId="0" fillId="0" borderId="16" xfId="0" applyBorder="1" applyAlignment="1">
      <alignment horizontal="left" indent="1" shrinkToFit="1"/>
    </xf>
    <xf numFmtId="0" fontId="0" fillId="0" borderId="15" xfId="0" applyBorder="1" applyAlignment="1">
      <alignment horizontal="right" indent="1" shrinkToFit="1"/>
    </xf>
    <xf numFmtId="0" fontId="0" fillId="0" borderId="0" xfId="0" applyBorder="1" applyAlignment="1">
      <alignment horizontal="right" indent="1" shrinkToFit="1"/>
    </xf>
    <xf numFmtId="0" fontId="0" fillId="0" borderId="16" xfId="0" applyBorder="1" applyAlignment="1">
      <alignment horizontal="right" indent="1" shrinkToFit="1"/>
    </xf>
    <xf numFmtId="0" fontId="46" fillId="0" borderId="84" xfId="0" applyFont="1" applyBorder="1" applyAlignment="1">
      <alignment horizontal="left" vertical="center" wrapText="1" indent="1" readingOrder="1"/>
    </xf>
    <xf numFmtId="0" fontId="0" fillId="0" borderId="0" xfId="0" applyFill="1"/>
    <xf numFmtId="0" fontId="0" fillId="0" borderId="0" xfId="0" applyFill="1" applyAlignment="1">
      <alignment horizontal="left" indent="1"/>
    </xf>
    <xf numFmtId="0" fontId="0" fillId="0" borderId="0" xfId="0" applyFill="1" applyAlignment="1">
      <alignment horizontal="left" vertical="center" indent="1" shrinkToFit="1"/>
    </xf>
    <xf numFmtId="174" fontId="2" fillId="5" borderId="89" xfId="1" applyNumberFormat="1" applyBorder="1" applyAlignment="1">
      <alignment horizontal="left" indent="1"/>
    </xf>
    <xf numFmtId="0" fontId="2" fillId="5" borderId="2" xfId="1" applyBorder="1" applyAlignment="1">
      <alignment horizontal="left" indent="1"/>
    </xf>
    <xf numFmtId="0" fontId="0" fillId="0" borderId="92" xfId="0" applyBorder="1" applyAlignment="1">
      <alignment horizontal="left" indent="1"/>
    </xf>
    <xf numFmtId="0" fontId="0" fillId="0" borderId="93" xfId="0" applyBorder="1" applyAlignment="1">
      <alignment horizontal="left" indent="1"/>
    </xf>
    <xf numFmtId="0" fontId="0" fillId="0" borderId="94" xfId="0" applyBorder="1" applyAlignment="1">
      <alignment horizontal="left" indent="1"/>
    </xf>
    <xf numFmtId="0" fontId="0" fillId="0" borderId="95" xfId="0" applyBorder="1" applyAlignment="1">
      <alignment horizontal="left" indent="1"/>
    </xf>
    <xf numFmtId="0" fontId="0" fillId="0" borderId="90" xfId="0" applyBorder="1" applyAlignment="1">
      <alignment horizontal="left" vertical="center" indent="1" shrinkToFit="1"/>
    </xf>
    <xf numFmtId="0" fontId="0" fillId="0" borderId="0" xfId="0" applyFont="1" applyFill="1" applyAlignment="1">
      <alignment horizontal="right" indent="1"/>
    </xf>
    <xf numFmtId="195" fontId="3" fillId="6" borderId="3" xfId="2" applyNumberFormat="1" applyAlignment="1">
      <alignment horizontal="right" indent="1" shrinkToFit="1"/>
    </xf>
    <xf numFmtId="0" fontId="0" fillId="27" borderId="0" xfId="0" applyFill="1" applyAlignment="1">
      <alignment horizontal="left" indent="1"/>
    </xf>
    <xf numFmtId="0" fontId="0" fillId="27" borderId="0" xfId="0" applyFill="1"/>
    <xf numFmtId="180" fontId="3" fillId="6" borderId="3" xfId="2" applyNumberFormat="1" applyAlignment="1">
      <alignment horizontal="center"/>
    </xf>
    <xf numFmtId="0" fontId="0" fillId="0" borderId="17" xfId="0" applyFill="1" applyBorder="1" applyAlignment="1">
      <alignment horizontal="right" indent="1" shrinkToFit="1"/>
    </xf>
    <xf numFmtId="0" fontId="0" fillId="0" borderId="5" xfId="0" applyFill="1" applyBorder="1" applyAlignment="1">
      <alignment horizontal="right" indent="1" shrinkToFit="1"/>
    </xf>
    <xf numFmtId="0" fontId="0" fillId="0" borderId="18" xfId="0" applyFill="1" applyBorder="1" applyAlignment="1">
      <alignment horizontal="right" indent="1" shrinkToFit="1"/>
    </xf>
    <xf numFmtId="0" fontId="0" fillId="0" borderId="17" xfId="0" applyBorder="1" applyAlignment="1">
      <alignment horizontal="left" indent="1" shrinkToFit="1"/>
    </xf>
    <xf numFmtId="0" fontId="0" fillId="0" borderId="5" xfId="0" applyBorder="1" applyAlignment="1">
      <alignment horizontal="left" indent="1" shrinkToFit="1"/>
    </xf>
    <xf numFmtId="0" fontId="0" fillId="0" borderId="18" xfId="0" applyBorder="1" applyAlignment="1">
      <alignment horizontal="left" indent="1" shrinkToFit="1"/>
    </xf>
    <xf numFmtId="0" fontId="0" fillId="0" borderId="17" xfId="0" applyBorder="1" applyAlignment="1">
      <alignment horizontal="left" indent="1"/>
    </xf>
    <xf numFmtId="0" fontId="0" fillId="0" borderId="5" xfId="0" applyBorder="1"/>
    <xf numFmtId="171" fontId="3" fillId="6" borderId="3" xfId="2" applyNumberFormat="1" applyAlignment="1">
      <alignment horizontal="right" indent="1"/>
    </xf>
    <xf numFmtId="0" fontId="0" fillId="29" borderId="97" xfId="0" applyFill="1" applyBorder="1" applyAlignment="1">
      <alignment horizontal="center" vertical="center"/>
    </xf>
    <xf numFmtId="0" fontId="0" fillId="29" borderId="98" xfId="0" applyFill="1" applyBorder="1" applyAlignment="1">
      <alignment horizontal="center" vertical="center"/>
    </xf>
    <xf numFmtId="0" fontId="39" fillId="29" borderId="98" xfId="0" applyFont="1" applyFill="1" applyBorder="1" applyAlignment="1">
      <alignment horizontal="center" vertical="center"/>
    </xf>
    <xf numFmtId="0" fontId="0" fillId="29" borderId="99" xfId="0" applyFill="1" applyBorder="1"/>
    <xf numFmtId="0" fontId="0" fillId="29" borderId="96" xfId="0" applyFill="1" applyBorder="1" applyAlignment="1">
      <alignment horizontal="left" vertical="center" indent="1"/>
    </xf>
    <xf numFmtId="0" fontId="0" fillId="28" borderId="100" xfId="0" applyFill="1" applyBorder="1" applyAlignment="1">
      <alignment horizontal="left" vertical="center" indent="1"/>
    </xf>
    <xf numFmtId="0" fontId="1" fillId="0" borderId="101" xfId="0" applyFont="1" applyBorder="1" applyAlignment="1">
      <alignment horizontal="right" indent="1"/>
    </xf>
    <xf numFmtId="0" fontId="1" fillId="0" borderId="102" xfId="0" applyFont="1" applyBorder="1" applyAlignment="1">
      <alignment horizontal="right" indent="1"/>
    </xf>
    <xf numFmtId="0" fontId="1" fillId="0" borderId="103" xfId="0" applyFont="1" applyBorder="1" applyAlignment="1">
      <alignment horizontal="right" indent="1"/>
    </xf>
    <xf numFmtId="0" fontId="0" fillId="0" borderId="103" xfId="0" applyBorder="1" applyAlignment="1">
      <alignment horizontal="right" indent="1"/>
    </xf>
    <xf numFmtId="0" fontId="39" fillId="0" borderId="0" xfId="0" applyFont="1" applyAlignment="1">
      <alignment horizontal="left" indent="1"/>
    </xf>
    <xf numFmtId="190" fontId="30" fillId="0" borderId="62" xfId="0" applyNumberFormat="1" applyFont="1" applyFill="1" applyBorder="1" applyAlignment="1">
      <alignment horizontal="right" vertical="center" indent="1" shrinkToFit="1"/>
    </xf>
    <xf numFmtId="190" fontId="30" fillId="0" borderId="63" xfId="0" applyNumberFormat="1" applyFont="1" applyFill="1" applyBorder="1" applyAlignment="1">
      <alignment horizontal="right" vertical="center" indent="1" shrinkToFit="1"/>
    </xf>
    <xf numFmtId="184" fontId="30" fillId="11" borderId="49" xfId="0" applyNumberFormat="1" applyFont="1" applyFill="1" applyBorder="1" applyAlignment="1">
      <alignment horizontal="right" vertical="center" indent="1" shrinkToFit="1"/>
    </xf>
    <xf numFmtId="173" fontId="0" fillId="0" borderId="0" xfId="0" applyNumberFormat="1" applyAlignment="1">
      <alignment horizontal="right" indent="1" shrinkToFit="1"/>
    </xf>
    <xf numFmtId="0" fontId="0" fillId="4" borderId="12" xfId="4" applyFont="1" applyFill="1" applyBorder="1" applyAlignment="1">
      <alignment horizontal="left"/>
    </xf>
    <xf numFmtId="0" fontId="53" fillId="0" borderId="74" xfId="4" applyNumberFormat="1" applyFont="1" applyBorder="1" applyAlignment="1">
      <alignment horizontal="center" vertical="center"/>
    </xf>
    <xf numFmtId="0" fontId="53" fillId="4" borderId="74" xfId="4" applyNumberFormat="1" applyFont="1" applyFill="1" applyBorder="1" applyAlignment="1">
      <alignment horizontal="center" vertical="center"/>
    </xf>
    <xf numFmtId="0" fontId="53" fillId="0" borderId="56" xfId="4" applyNumberFormat="1" applyFont="1" applyBorder="1" applyAlignment="1">
      <alignment horizontal="center" vertical="center"/>
    </xf>
    <xf numFmtId="0" fontId="53" fillId="4" borderId="56" xfId="4" applyNumberFormat="1" applyFont="1" applyFill="1" applyBorder="1" applyAlignment="1">
      <alignment horizontal="center" vertical="center"/>
    </xf>
    <xf numFmtId="0" fontId="45" fillId="0" borderId="0" xfId="4" applyFont="1" applyAlignment="1">
      <alignment horizontal="left" indent="1"/>
    </xf>
    <xf numFmtId="0" fontId="39" fillId="3" borderId="12" xfId="4" applyFont="1" applyFill="1" applyBorder="1" applyAlignment="1">
      <alignment horizontal="left"/>
    </xf>
    <xf numFmtId="0" fontId="0" fillId="0" borderId="10" xfId="4" applyFont="1" applyBorder="1" applyAlignment="1">
      <alignment horizontal="left" indent="1"/>
    </xf>
    <xf numFmtId="0" fontId="2" fillId="30" borderId="2" xfId="1" applyFill="1" applyAlignment="1">
      <alignment horizontal="left" indent="1"/>
    </xf>
    <xf numFmtId="0" fontId="2" fillId="3" borderId="0" xfId="1" applyFill="1" applyBorder="1" applyAlignment="1">
      <alignment horizontal="left"/>
    </xf>
    <xf numFmtId="0" fontId="1" fillId="0" borderId="0" xfId="0" applyFont="1" applyBorder="1" applyAlignment="1">
      <alignment horizontal="left" indent="1"/>
    </xf>
    <xf numFmtId="0" fontId="1" fillId="0" borderId="15" xfId="0" applyFont="1" applyBorder="1" applyAlignment="1">
      <alignment horizontal="left" indent="1" shrinkToFit="1"/>
    </xf>
    <xf numFmtId="0" fontId="0" fillId="0" borderId="0" xfId="0" applyBorder="1"/>
    <xf numFmtId="0" fontId="0" fillId="0" borderId="0" xfId="0" applyAlignment="1">
      <alignment horizontal="right" indent="1" shrinkToFit="1"/>
    </xf>
    <xf numFmtId="0" fontId="2" fillId="5" borderId="109" xfId="1" applyBorder="1" applyAlignment="1">
      <alignment horizontal="left" indent="1"/>
    </xf>
    <xf numFmtId="0" fontId="0" fillId="0" borderId="15" xfId="0" applyFont="1" applyBorder="1" applyAlignment="1">
      <alignment horizontal="left" indent="1" shrinkToFit="1"/>
    </xf>
    <xf numFmtId="0" fontId="0" fillId="0" borderId="0" xfId="0" applyFont="1" applyBorder="1" applyAlignment="1">
      <alignment horizontal="left" indent="1" shrinkToFit="1"/>
    </xf>
    <xf numFmtId="0" fontId="39" fillId="0" borderId="0" xfId="0" applyFont="1" applyAlignment="1">
      <alignment horizontal="left" wrapText="1" indent="1"/>
    </xf>
    <xf numFmtId="0" fontId="0" fillId="31" borderId="110" xfId="0" applyFill="1" applyBorder="1" applyAlignment="1">
      <alignment horizontal="center" vertical="center"/>
    </xf>
    <xf numFmtId="0" fontId="0" fillId="31" borderId="111" xfId="0" applyFill="1" applyBorder="1" applyAlignment="1">
      <alignment horizontal="center" vertical="center"/>
    </xf>
    <xf numFmtId="0" fontId="0" fillId="31" borderId="112" xfId="0" applyFill="1" applyBorder="1" applyAlignment="1">
      <alignment horizontal="center" vertical="center"/>
    </xf>
    <xf numFmtId="0" fontId="0" fillId="2" borderId="114" xfId="0" applyFill="1" applyBorder="1"/>
    <xf numFmtId="0" fontId="0" fillId="2" borderId="113" xfId="0" applyFill="1" applyBorder="1"/>
    <xf numFmtId="0" fontId="56" fillId="2" borderId="114" xfId="0" applyFont="1" applyFill="1" applyBorder="1" applyAlignment="1">
      <alignment horizontal="left" indent="1"/>
    </xf>
    <xf numFmtId="0" fontId="15" fillId="2" borderId="114" xfId="0" applyFont="1" applyFill="1" applyBorder="1"/>
    <xf numFmtId="0" fontId="53" fillId="0" borderId="0" xfId="0" applyFont="1" applyBorder="1" applyAlignment="1">
      <alignment horizontal="left" indent="1"/>
    </xf>
    <xf numFmtId="183" fontId="3" fillId="6" borderId="3" xfId="2" applyNumberFormat="1" applyAlignment="1">
      <alignment horizontal="right" indent="1"/>
    </xf>
    <xf numFmtId="0" fontId="40" fillId="0" borderId="15" xfId="4" applyBorder="1" applyAlignment="1">
      <alignment horizontal="center" vertical="center"/>
    </xf>
    <xf numFmtId="0" fontId="40" fillId="0" borderId="0" xfId="4" applyBorder="1" applyAlignment="1">
      <alignment horizontal="center" vertical="center"/>
    </xf>
    <xf numFmtId="0" fontId="40" fillId="0" borderId="16" xfId="4" applyBorder="1" applyAlignment="1">
      <alignment horizontal="center" vertical="center"/>
    </xf>
    <xf numFmtId="0" fontId="40" fillId="0" borderId="17" xfId="4" applyBorder="1" applyAlignment="1">
      <alignment horizontal="center" vertical="center"/>
    </xf>
    <xf numFmtId="0" fontId="40" fillId="0" borderId="5" xfId="4" applyBorder="1" applyAlignment="1">
      <alignment horizontal="center" vertical="center"/>
    </xf>
    <xf numFmtId="0" fontId="40" fillId="0" borderId="18" xfId="4" applyBorder="1" applyAlignment="1">
      <alignment horizontal="center" vertical="center"/>
    </xf>
    <xf numFmtId="0" fontId="1" fillId="0" borderId="72" xfId="4" applyFont="1" applyBorder="1" applyAlignment="1">
      <alignment horizontal="center"/>
    </xf>
    <xf numFmtId="0" fontId="1" fillId="0" borderId="1" xfId="4" applyFont="1" applyBorder="1" applyAlignment="1">
      <alignment horizontal="center"/>
    </xf>
    <xf numFmtId="0" fontId="1" fillId="0" borderId="88" xfId="4" applyFont="1" applyBorder="1" applyAlignment="1">
      <alignment horizontal="center"/>
    </xf>
    <xf numFmtId="0" fontId="1" fillId="0" borderId="117" xfId="0" applyFont="1" applyBorder="1" applyAlignment="1">
      <alignment horizontal="right" indent="1"/>
    </xf>
    <xf numFmtId="0" fontId="0" fillId="3" borderId="12" xfId="0" applyFill="1" applyBorder="1"/>
    <xf numFmtId="0" fontId="39" fillId="3" borderId="0" xfId="0" applyFont="1" applyFill="1" applyBorder="1" applyAlignment="1">
      <alignment horizontal="left" wrapText="1" indent="1"/>
    </xf>
    <xf numFmtId="0" fontId="39" fillId="3" borderId="16" xfId="0" applyFont="1" applyFill="1" applyBorder="1" applyAlignment="1">
      <alignment horizontal="left" wrapText="1" indent="1"/>
    </xf>
    <xf numFmtId="0" fontId="39" fillId="3" borderId="5" xfId="0" applyFont="1" applyFill="1" applyBorder="1" applyAlignment="1">
      <alignment horizontal="left" wrapText="1" indent="1"/>
    </xf>
    <xf numFmtId="0" fontId="39" fillId="3" borderId="18" xfId="0" applyFont="1" applyFill="1" applyBorder="1" applyAlignment="1">
      <alignment horizontal="left" wrapText="1" indent="1"/>
    </xf>
    <xf numFmtId="0" fontId="0" fillId="0" borderId="118" xfId="0" applyBorder="1" applyAlignment="1">
      <alignment horizontal="center" vertical="center"/>
    </xf>
    <xf numFmtId="0" fontId="0" fillId="0" borderId="119" xfId="0" applyBorder="1" applyAlignment="1">
      <alignment horizontal="right" vertical="center" indent="1"/>
    </xf>
    <xf numFmtId="180" fontId="0" fillId="0" borderId="120" xfId="0" applyNumberFormat="1" applyBorder="1" applyAlignment="1">
      <alignment horizontal="center" vertical="center"/>
    </xf>
    <xf numFmtId="170" fontId="0" fillId="0" borderId="120" xfId="0" applyNumberFormat="1" applyBorder="1" applyAlignment="1">
      <alignment horizontal="center" vertical="center"/>
    </xf>
    <xf numFmtId="0" fontId="0" fillId="0" borderId="121" xfId="0" applyBorder="1" applyAlignment="1">
      <alignment horizontal="right" vertical="center" indent="1"/>
    </xf>
    <xf numFmtId="9" fontId="0" fillId="0" borderId="122" xfId="0" applyNumberFormat="1" applyBorder="1" applyAlignment="1">
      <alignment horizontal="center" vertical="center"/>
    </xf>
    <xf numFmtId="197" fontId="53" fillId="0" borderId="126" xfId="0" applyNumberFormat="1" applyFont="1" applyBorder="1" applyAlignment="1">
      <alignment horizontal="center" vertical="center" wrapText="1"/>
    </xf>
    <xf numFmtId="0" fontId="53" fillId="0" borderId="127" xfId="0" applyFont="1" applyBorder="1" applyAlignment="1">
      <alignment horizontal="center" vertical="center" wrapText="1"/>
    </xf>
    <xf numFmtId="180" fontId="53" fillId="0" borderId="128" xfId="0" applyNumberFormat="1" applyFont="1" applyBorder="1" applyAlignment="1">
      <alignment horizontal="center" vertical="center" wrapText="1"/>
    </xf>
    <xf numFmtId="170" fontId="53" fillId="0" borderId="128" xfId="0" applyNumberFormat="1" applyFont="1" applyBorder="1" applyAlignment="1">
      <alignment horizontal="center" vertical="center" wrapText="1"/>
    </xf>
    <xf numFmtId="9" fontId="53" fillId="0" borderId="126" xfId="0" applyNumberFormat="1" applyFont="1" applyBorder="1" applyAlignment="1">
      <alignment horizontal="center" vertical="center" wrapText="1"/>
    </xf>
    <xf numFmtId="198" fontId="53" fillId="0" borderId="129" xfId="0" applyNumberFormat="1" applyFont="1" applyBorder="1" applyAlignment="1">
      <alignment horizontal="center" vertical="center" wrapText="1"/>
    </xf>
    <xf numFmtId="0" fontId="0" fillId="3" borderId="115" xfId="0" applyFill="1" applyBorder="1"/>
    <xf numFmtId="0" fontId="1" fillId="0" borderId="116" xfId="0" applyFont="1" applyBorder="1" applyAlignment="1">
      <alignment horizontal="center"/>
    </xf>
    <xf numFmtId="0" fontId="53" fillId="3" borderId="12" xfId="4" applyFont="1" applyFill="1" applyBorder="1" applyAlignment="1">
      <alignment horizontal="left"/>
    </xf>
    <xf numFmtId="199" fontId="40" fillId="0" borderId="0" xfId="4" applyNumberFormat="1" applyAlignment="1">
      <alignment horizontal="right" shrinkToFit="1"/>
    </xf>
    <xf numFmtId="0" fontId="0" fillId="0" borderId="0" xfId="4" applyFont="1" applyAlignment="1">
      <alignment horizontal="left" indent="1"/>
    </xf>
    <xf numFmtId="194" fontId="2" fillId="32" borderId="2" xfId="1" applyNumberFormat="1" applyFill="1" applyAlignment="1">
      <alignment horizontal="right" indent="1"/>
    </xf>
    <xf numFmtId="196" fontId="2" fillId="32" borderId="2" xfId="1" applyNumberFormat="1" applyFill="1" applyAlignment="1">
      <alignment horizontal="right" indent="1" shrinkToFit="1"/>
    </xf>
    <xf numFmtId="0" fontId="0" fillId="0" borderId="12" xfId="0" applyBorder="1" applyAlignment="1">
      <alignment horizontal="center" vertical="center" textRotation="88"/>
    </xf>
    <xf numFmtId="0" fontId="0" fillId="0" borderId="15" xfId="0" applyBorder="1" applyAlignment="1">
      <alignment horizontal="center" vertical="center" textRotation="88"/>
    </xf>
    <xf numFmtId="0" fontId="0" fillId="0" borderId="17" xfId="0" applyBorder="1" applyAlignment="1">
      <alignment horizontal="center" vertical="center" textRotation="88"/>
    </xf>
    <xf numFmtId="0" fontId="24" fillId="0" borderId="42" xfId="0" applyFont="1" applyBorder="1" applyAlignment="1">
      <alignment horizontal="left" vertical="top" wrapText="1" indent="1"/>
    </xf>
    <xf numFmtId="0" fontId="53" fillId="0" borderId="71" xfId="0" applyFont="1" applyBorder="1" applyAlignment="1">
      <alignment horizontal="left" wrapText="1" indent="1"/>
    </xf>
    <xf numFmtId="0" fontId="53" fillId="0" borderId="0" xfId="0" applyFont="1" applyAlignment="1">
      <alignment horizontal="left" wrapText="1" indent="1"/>
    </xf>
    <xf numFmtId="0" fontId="39" fillId="0" borderId="0" xfId="0" applyFont="1" applyBorder="1" applyAlignment="1">
      <alignment horizontal="left" wrapText="1" indent="1"/>
    </xf>
    <xf numFmtId="0" fontId="50" fillId="0" borderId="90" xfId="3" applyFont="1" applyBorder="1" applyAlignment="1">
      <alignment horizontal="center" vertical="center" wrapText="1"/>
    </xf>
    <xf numFmtId="0" fontId="50" fillId="0" borderId="0" xfId="3" applyFont="1" applyBorder="1" applyAlignment="1">
      <alignment horizontal="center" vertical="center" wrapText="1"/>
    </xf>
    <xf numFmtId="0" fontId="50" fillId="0" borderId="91" xfId="3" applyFont="1" applyBorder="1" applyAlignment="1">
      <alignment horizontal="center" vertical="center" wrapText="1"/>
    </xf>
    <xf numFmtId="0" fontId="50" fillId="0" borderId="78" xfId="3" applyFont="1" applyFill="1" applyBorder="1" applyAlignment="1">
      <alignment horizontal="center" vertical="center" wrapText="1"/>
    </xf>
    <xf numFmtId="0" fontId="50" fillId="0" borderId="0" xfId="3" applyFont="1" applyAlignment="1">
      <alignment horizontal="center" vertical="center" wrapText="1"/>
    </xf>
    <xf numFmtId="0" fontId="50" fillId="0" borderId="13" xfId="3" applyFont="1" applyBorder="1" applyAlignment="1">
      <alignment horizontal="center" vertical="center" wrapText="1"/>
    </xf>
    <xf numFmtId="0" fontId="53" fillId="0" borderId="123" xfId="0" applyFont="1" applyBorder="1" applyAlignment="1">
      <alignment horizontal="left" indent="1" shrinkToFit="1"/>
    </xf>
    <xf numFmtId="0" fontId="53" fillId="0" borderId="124" xfId="0" applyFont="1" applyBorder="1" applyAlignment="1">
      <alignment horizontal="left" indent="1" shrinkToFit="1"/>
    </xf>
    <xf numFmtId="0" fontId="57" fillId="0" borderId="130" xfId="0" applyFont="1" applyBorder="1" applyAlignment="1">
      <alignment horizontal="right" vertical="center" indent="1" shrinkToFit="1"/>
    </xf>
    <xf numFmtId="0" fontId="0" fillId="0" borderId="125" xfId="0" applyBorder="1" applyAlignment="1">
      <alignment horizontal="right" vertical="center" indent="1" shrinkToFit="1"/>
    </xf>
    <xf numFmtId="0" fontId="0" fillId="0" borderId="132" xfId="0" applyBorder="1" applyAlignment="1">
      <alignment horizontal="left" indent="1" shrinkToFit="1"/>
    </xf>
    <xf numFmtId="0" fontId="1" fillId="0" borderId="0" xfId="0" applyFont="1" applyAlignment="1">
      <alignment horizontal="center" vertical="center" textRotation="90" wrapText="1"/>
    </xf>
    <xf numFmtId="0" fontId="0" fillId="13" borderId="0" xfId="0" applyFill="1" applyBorder="1" applyAlignment="1">
      <alignment horizontal="center" vertical="center" wrapText="1"/>
    </xf>
    <xf numFmtId="0" fontId="0" fillId="0" borderId="0" xfId="0" applyBorder="1" applyAlignment="1">
      <alignment wrapText="1"/>
    </xf>
    <xf numFmtId="0" fontId="0" fillId="10" borderId="0" xfId="0" applyFill="1" applyBorder="1" applyAlignment="1">
      <alignment horizontal="center" vertical="center" wrapText="1"/>
    </xf>
    <xf numFmtId="0" fontId="0" fillId="9" borderId="0" xfId="0" applyFill="1" applyBorder="1" applyAlignment="1">
      <alignment horizontal="center" vertical="center" wrapText="1"/>
    </xf>
    <xf numFmtId="0" fontId="15" fillId="11" borderId="0" xfId="0" applyFont="1" applyFill="1" applyBorder="1" applyAlignment="1">
      <alignment horizontal="center" vertical="center" wrapText="1"/>
    </xf>
    <xf numFmtId="0" fontId="15" fillId="0" borderId="0" xfId="0" applyFont="1" applyBorder="1" applyAlignment="1">
      <alignment wrapText="1"/>
    </xf>
    <xf numFmtId="0" fontId="15" fillId="12" borderId="0" xfId="0" applyFont="1" applyFill="1" applyBorder="1" applyAlignment="1">
      <alignment horizontal="center" vertical="center" wrapText="1"/>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0" fillId="0" borderId="42" xfId="0" applyBorder="1" applyAlignment="1">
      <alignment horizontal="left" vertical="top" wrapText="1" indent="1"/>
    </xf>
    <xf numFmtId="0" fontId="0" fillId="0" borderId="0" xfId="0" applyAlignment="1">
      <alignment horizontal="left" vertical="center" wrapText="1" indent="1"/>
    </xf>
    <xf numFmtId="0" fontId="0" fillId="0" borderId="45" xfId="0" applyBorder="1" applyAlignment="1">
      <alignment horizontal="left" vertical="center" wrapText="1" indent="1"/>
    </xf>
    <xf numFmtId="0" fontId="0" fillId="0" borderId="65" xfId="0" applyBorder="1" applyAlignment="1">
      <alignment horizontal="left" vertical="center" wrapText="1" indent="1"/>
    </xf>
    <xf numFmtId="0" fontId="0" fillId="0" borderId="46" xfId="0" applyBorder="1" applyAlignment="1">
      <alignment horizontal="left" vertical="center" wrapText="1" indent="1"/>
    </xf>
    <xf numFmtId="0" fontId="1" fillId="25" borderId="0" xfId="0" applyFont="1" applyFill="1" applyAlignment="1">
      <alignment horizontal="left" indent="1" shrinkToFit="1"/>
    </xf>
    <xf numFmtId="0" fontId="0" fillId="25" borderId="0" xfId="0" applyFill="1" applyAlignment="1">
      <alignment horizontal="left" indent="1" shrinkToFit="1"/>
    </xf>
    <xf numFmtId="0" fontId="1" fillId="0" borderId="1" xfId="0" applyFont="1" applyBorder="1" applyAlignment="1">
      <alignment horizontal="left" indent="1" shrinkToFit="1"/>
    </xf>
    <xf numFmtId="0" fontId="0" fillId="0" borderId="1" xfId="0" applyBorder="1" applyAlignment="1">
      <alignment horizontal="left" shrinkToFit="1"/>
    </xf>
    <xf numFmtId="0" fontId="31" fillId="0" borderId="0" xfId="0" applyFont="1" applyAlignment="1">
      <alignment horizontal="left" vertical="center" wrapText="1" indent="1" shrinkToFit="1"/>
    </xf>
    <xf numFmtId="0" fontId="31" fillId="0" borderId="0" xfId="0" applyFont="1" applyAlignment="1">
      <alignment horizontal="left" vertical="center" indent="1" shrinkToFit="1"/>
    </xf>
    <xf numFmtId="0" fontId="29" fillId="0" borderId="0" xfId="0" applyFont="1" applyAlignment="1">
      <alignment horizontal="left" vertical="center" wrapText="1" indent="1"/>
    </xf>
    <xf numFmtId="0" fontId="0" fillId="16" borderId="4" xfId="0" applyFill="1" applyBorder="1" applyAlignment="1">
      <alignment horizontal="left" wrapText="1" indent="1"/>
    </xf>
    <xf numFmtId="0" fontId="30" fillId="0" borderId="45" xfId="0" applyFont="1" applyBorder="1" applyAlignment="1">
      <alignment vertical="center" wrapText="1"/>
    </xf>
    <xf numFmtId="0" fontId="30" fillId="0" borderId="46" xfId="0" applyFont="1" applyBorder="1" applyAlignment="1">
      <alignment vertical="center" wrapText="1"/>
    </xf>
    <xf numFmtId="0" fontId="30" fillId="11" borderId="45" xfId="0" applyFont="1" applyFill="1" applyBorder="1" applyAlignment="1">
      <alignment vertical="center" wrapText="1"/>
    </xf>
    <xf numFmtId="0" fontId="30" fillId="11" borderId="46" xfId="0" applyFont="1" applyFill="1" applyBorder="1" applyAlignment="1">
      <alignment vertical="center" wrapText="1"/>
    </xf>
    <xf numFmtId="0" fontId="1" fillId="0" borderId="1" xfId="0" applyFont="1" applyBorder="1" applyAlignment="1">
      <alignment horizontal="left" vertical="center" wrapText="1" indent="1"/>
    </xf>
    <xf numFmtId="184" fontId="30" fillId="0" borderId="67" xfId="0" applyNumberFormat="1" applyFont="1" applyFill="1" applyBorder="1" applyAlignment="1">
      <alignment horizontal="left" vertical="center" indent="1" shrinkToFit="1"/>
    </xf>
    <xf numFmtId="0" fontId="0" fillId="0" borderId="4" xfId="0" applyBorder="1" applyAlignment="1">
      <alignment horizontal="left" vertical="center" indent="1" shrinkToFit="1"/>
    </xf>
    <xf numFmtId="0" fontId="0" fillId="0" borderId="107" xfId="0" applyBorder="1" applyAlignment="1">
      <alignment horizontal="left" vertical="center" indent="1" shrinkToFit="1"/>
    </xf>
    <xf numFmtId="0" fontId="0" fillId="0" borderId="108" xfId="0" applyBorder="1" applyAlignment="1">
      <alignment horizontal="left" vertical="top" wrapText="1" indent="1"/>
    </xf>
    <xf numFmtId="0" fontId="18" fillId="0" borderId="71" xfId="0" applyFont="1" applyBorder="1" applyAlignment="1">
      <alignment horizontal="left" indent="1"/>
    </xf>
    <xf numFmtId="0" fontId="18" fillId="0" borderId="0" xfId="0" applyFont="1" applyAlignment="1">
      <alignment horizontal="left" indent="1"/>
    </xf>
    <xf numFmtId="0" fontId="18" fillId="0" borderId="105" xfId="0" applyFont="1" applyBorder="1" applyAlignment="1">
      <alignment horizontal="left" vertical="center" indent="1" shrinkToFit="1"/>
    </xf>
    <xf numFmtId="0" fontId="18" fillId="0" borderId="0" xfId="0" applyFont="1" applyAlignment="1">
      <alignment horizontal="left" vertical="center" indent="1" shrinkToFit="1"/>
    </xf>
    <xf numFmtId="0" fontId="51" fillId="0" borderId="0" xfId="0" applyFont="1" applyAlignment="1">
      <alignment horizontal="left" vertical="center" wrapText="1" indent="1"/>
    </xf>
    <xf numFmtId="0" fontId="0" fillId="0" borderId="106" xfId="0" applyBorder="1" applyAlignment="1">
      <alignment horizontal="left" vertical="center" wrapText="1" indent="1"/>
    </xf>
    <xf numFmtId="184" fontId="30" fillId="0" borderId="75" xfId="0" applyNumberFormat="1" applyFont="1" applyFill="1" applyBorder="1" applyAlignment="1">
      <alignment horizontal="left" vertical="center" indent="1" shrinkToFit="1"/>
    </xf>
    <xf numFmtId="0" fontId="0" fillId="0" borderId="10" xfId="0" applyBorder="1" applyAlignment="1">
      <alignment horizontal="left" vertical="center" indent="1" shrinkToFit="1"/>
    </xf>
    <xf numFmtId="0" fontId="0" fillId="0" borderId="104" xfId="0" applyBorder="1" applyAlignment="1">
      <alignment horizontal="left" vertical="center" indent="1" shrinkToFit="1"/>
    </xf>
    <xf numFmtId="0" fontId="0" fillId="0" borderId="0" xfId="0" applyAlignment="1">
      <alignment horizontal="left" vertical="center" indent="1" shrinkToFit="1"/>
    </xf>
    <xf numFmtId="0" fontId="0" fillId="0" borderId="0" xfId="0" applyFont="1" applyAlignment="1">
      <alignment horizontal="left" vertical="center" indent="1" shrinkToFit="1"/>
    </xf>
    <xf numFmtId="0" fontId="47" fillId="0" borderId="85" xfId="0" applyFont="1" applyBorder="1" applyAlignment="1">
      <alignment horizontal="center" vertical="center" wrapText="1" readingOrder="1"/>
    </xf>
    <xf numFmtId="0" fontId="47" fillId="0" borderId="86" xfId="0" applyFont="1" applyBorder="1" applyAlignment="1">
      <alignment horizontal="center" vertical="center" wrapText="1" readingOrder="1"/>
    </xf>
    <xf numFmtId="0" fontId="47" fillId="0" borderId="87" xfId="0" applyFont="1" applyBorder="1" applyAlignment="1">
      <alignment horizontal="center" vertical="center" wrapText="1" readingOrder="1"/>
    </xf>
    <xf numFmtId="0" fontId="1" fillId="0" borderId="72" xfId="0" applyFont="1" applyBorder="1" applyAlignment="1">
      <alignment horizontal="left" indent="1" shrinkToFit="1"/>
    </xf>
    <xf numFmtId="0" fontId="0" fillId="0" borderId="1" xfId="0" applyBorder="1" applyAlignment="1">
      <alignment horizontal="left" indent="1" shrinkToFit="1"/>
    </xf>
    <xf numFmtId="0" fontId="0" fillId="0" borderId="88" xfId="0" applyBorder="1" applyAlignment="1">
      <alignment horizontal="left" indent="1" shrinkToFit="1"/>
    </xf>
    <xf numFmtId="0" fontId="47" fillId="22" borderId="85" xfId="0" applyFont="1" applyFill="1" applyBorder="1" applyAlignment="1">
      <alignment horizontal="left" vertical="center" wrapText="1" indent="1" readingOrder="1"/>
    </xf>
    <xf numFmtId="0" fontId="47" fillId="22" borderId="86" xfId="0" applyFont="1" applyFill="1" applyBorder="1" applyAlignment="1">
      <alignment horizontal="left" vertical="center" wrapText="1" indent="1" readingOrder="1"/>
    </xf>
    <xf numFmtId="0" fontId="47" fillId="22" borderId="87" xfId="0" applyFont="1" applyFill="1" applyBorder="1" applyAlignment="1">
      <alignment horizontal="left" vertical="center" wrapText="1" indent="1" readingOrder="1"/>
    </xf>
    <xf numFmtId="0" fontId="47" fillId="23" borderId="85" xfId="0" applyFont="1" applyFill="1" applyBorder="1" applyAlignment="1">
      <alignment horizontal="left" vertical="center" wrapText="1" indent="1" readingOrder="1"/>
    </xf>
    <xf numFmtId="0" fontId="47" fillId="23" borderId="86" xfId="0" applyFont="1" applyFill="1" applyBorder="1" applyAlignment="1">
      <alignment horizontal="left" vertical="center" wrapText="1" indent="1" readingOrder="1"/>
    </xf>
    <xf numFmtId="0" fontId="29" fillId="0" borderId="15" xfId="4" applyFont="1" applyBorder="1" applyAlignment="1">
      <alignment horizontal="left" vertical="center" wrapText="1" indent="1"/>
    </xf>
    <xf numFmtId="0" fontId="29" fillId="0" borderId="15" xfId="0" applyFont="1" applyBorder="1" applyAlignment="1">
      <alignment horizontal="left" vertical="center" wrapText="1" indent="1"/>
    </xf>
    <xf numFmtId="0" fontId="0" fillId="0" borderId="12" xfId="4" applyFont="1" applyBorder="1" applyAlignment="1">
      <alignment horizontal="left" indent="1" shrinkToFit="1"/>
    </xf>
    <xf numFmtId="0" fontId="0" fillId="0" borderId="13" xfId="0" applyFont="1" applyBorder="1" applyAlignment="1">
      <alignment horizontal="left" indent="1" shrinkToFit="1"/>
    </xf>
    <xf numFmtId="0" fontId="0" fillId="0" borderId="14" xfId="0" applyFont="1" applyBorder="1" applyAlignment="1">
      <alignment horizontal="left" indent="1" shrinkToFit="1"/>
    </xf>
    <xf numFmtId="2" fontId="3" fillId="6" borderId="3" xfId="2" applyNumberFormat="1" applyAlignment="1">
      <alignment horizontal="left" indent="1" shrinkToFit="1"/>
    </xf>
    <xf numFmtId="0" fontId="40" fillId="4" borderId="17" xfId="4" applyFill="1" applyBorder="1" applyAlignment="1">
      <alignment horizontal="left" vertical="center" wrapText="1" indent="1"/>
    </xf>
    <xf numFmtId="0" fontId="40" fillId="4" borderId="5" xfId="4" applyFill="1" applyBorder="1" applyAlignment="1">
      <alignment horizontal="left" vertical="center" wrapText="1" indent="1"/>
    </xf>
    <xf numFmtId="0" fontId="40" fillId="0" borderId="16" xfId="4" applyBorder="1" applyAlignment="1">
      <alignment horizontal="left" vertical="top" wrapText="1" indent="1"/>
    </xf>
    <xf numFmtId="0" fontId="40" fillId="3" borderId="17" xfId="4" applyFill="1" applyBorder="1" applyAlignment="1">
      <alignment horizontal="left" vertical="center" wrapText="1" indent="1"/>
    </xf>
    <xf numFmtId="0" fontId="40" fillId="0" borderId="5" xfId="4" applyBorder="1" applyAlignment="1">
      <alignment horizontal="left" vertical="center" wrapText="1" indent="1"/>
    </xf>
    <xf numFmtId="0" fontId="40" fillId="0" borderId="0" xfId="4" applyAlignment="1">
      <alignment horizontal="left" vertical="top" wrapText="1" indent="1"/>
    </xf>
    <xf numFmtId="0" fontId="2" fillId="5" borderId="2" xfId="1" applyAlignment="1">
      <alignment horizontal="left" vertical="center" wrapText="1" indent="1"/>
    </xf>
    <xf numFmtId="9" fontId="3" fillId="6" borderId="3" xfId="2" applyNumberFormat="1" applyAlignment="1">
      <alignment horizontal="left" indent="1" shrinkToFit="1"/>
    </xf>
    <xf numFmtId="9" fontId="2" fillId="5" borderId="2" xfId="1" applyNumberFormat="1" applyAlignment="1">
      <alignment horizontal="left" vertical="center" wrapText="1" indent="1"/>
    </xf>
    <xf numFmtId="0" fontId="1" fillId="25" borderId="0" xfId="4" applyFont="1" applyFill="1" applyAlignment="1">
      <alignment horizontal="left" wrapText="1" indent="1"/>
    </xf>
    <xf numFmtId="0" fontId="40" fillId="0" borderId="76" xfId="4" applyBorder="1" applyAlignment="1">
      <alignment horizontal="left" indent="1" shrinkToFit="1"/>
    </xf>
    <xf numFmtId="0" fontId="40" fillId="0" borderId="11" xfId="4" applyBorder="1" applyAlignment="1">
      <alignment horizontal="left" indent="1" shrinkToFit="1"/>
    </xf>
    <xf numFmtId="0" fontId="40" fillId="0" borderId="131" xfId="4" applyBorder="1" applyAlignment="1">
      <alignment horizontal="left" indent="1" shrinkToFit="1"/>
    </xf>
    <xf numFmtId="0" fontId="0" fillId="3" borderId="17" xfId="4" applyFont="1" applyFill="1" applyBorder="1" applyAlignment="1">
      <alignment horizontal="left" vertical="center" wrapText="1" indent="1"/>
    </xf>
    <xf numFmtId="0" fontId="0" fillId="3" borderId="76" xfId="4" applyFont="1" applyFill="1" applyBorder="1" applyAlignment="1">
      <alignment horizontal="left" wrapText="1" indent="1"/>
    </xf>
    <xf numFmtId="0" fontId="0" fillId="0" borderId="11" xfId="0" applyBorder="1" applyAlignment="1">
      <alignment horizontal="left" wrapText="1" indent="1"/>
    </xf>
    <xf numFmtId="0" fontId="0" fillId="0" borderId="31" xfId="0" applyBorder="1" applyAlignment="1">
      <alignment horizontal="left" vertical="top" wrapText="1" indent="1"/>
    </xf>
    <xf numFmtId="0" fontId="0" fillId="0" borderId="32" xfId="0" applyBorder="1" applyAlignment="1">
      <alignment horizontal="left" vertical="top" wrapText="1" indent="1"/>
    </xf>
    <xf numFmtId="0" fontId="0" fillId="0" borderId="33" xfId="0" applyBorder="1" applyAlignment="1">
      <alignment horizontal="left" vertical="top" wrapText="1" indent="1"/>
    </xf>
    <xf numFmtId="0" fontId="21" fillId="18" borderId="36" xfId="0" applyFont="1" applyFill="1" applyBorder="1" applyAlignment="1">
      <alignment horizontal="left" vertical="center" wrapText="1" indent="1"/>
    </xf>
  </cellXfs>
  <cellStyles count="5">
    <cellStyle name="Hyperlink" xfId="3" builtinId="8"/>
    <cellStyle name="Input" xfId="1" builtinId="20"/>
    <cellStyle name="Normal" xfId="0" builtinId="0"/>
    <cellStyle name="Normal 4" xfId="4"/>
    <cellStyle name="Output" xfId="2" builtinId="21"/>
  </cellStyles>
  <dxfs count="34">
    <dxf>
      <font>
        <color theme="0" tint="-0.34998626667073579"/>
      </font>
    </dxf>
    <dxf>
      <font>
        <color rgb="FFFF0000"/>
      </font>
      <fill>
        <patternFill>
          <bgColor rgb="FFFFFF00"/>
        </patternFill>
      </fill>
    </dxf>
    <dxf>
      <fill>
        <patternFill>
          <bgColor rgb="FF00FF00"/>
        </patternFill>
      </fill>
    </dxf>
    <dxf>
      <fill>
        <patternFill patternType="lightGray"/>
      </fill>
    </dxf>
    <dxf>
      <fill>
        <patternFill patternType="lightGray"/>
      </fill>
    </dxf>
    <dxf>
      <fill>
        <patternFill>
          <bgColor theme="0"/>
        </patternFill>
      </fill>
    </dxf>
    <dxf>
      <fill>
        <patternFill>
          <bgColor theme="0"/>
        </patternFill>
      </fill>
    </dxf>
    <dxf>
      <fill>
        <patternFill>
          <bgColor theme="0"/>
        </patternFill>
      </fill>
    </dxf>
    <dxf>
      <fill>
        <patternFill>
          <bgColor rgb="FFCCFFCC"/>
        </patternFill>
      </fill>
    </dxf>
    <dxf>
      <fill>
        <patternFill>
          <bgColor rgb="FF66FF66"/>
        </patternFill>
      </fill>
    </dxf>
    <dxf>
      <fill>
        <patternFill>
          <bgColor rgb="FFFFFF00"/>
        </patternFill>
      </fill>
    </dxf>
    <dxf>
      <fill>
        <patternFill>
          <bgColor rgb="FFFF0000"/>
        </patternFill>
      </fill>
    </dxf>
    <dxf>
      <font>
        <b/>
        <i val="0"/>
        <color theme="0"/>
      </font>
      <fill>
        <patternFill>
          <bgColor rgb="FFC00000"/>
        </patternFill>
      </fill>
    </dxf>
    <dxf>
      <fill>
        <patternFill>
          <bgColor rgb="FFCCFFCC"/>
        </patternFill>
      </fill>
    </dxf>
    <dxf>
      <fill>
        <patternFill>
          <bgColor rgb="FF66FF66"/>
        </patternFill>
      </fill>
    </dxf>
    <dxf>
      <fill>
        <patternFill>
          <bgColor rgb="FFFFFF00"/>
        </patternFill>
      </fill>
    </dxf>
    <dxf>
      <fill>
        <patternFill>
          <bgColor rgb="FFFF0000"/>
        </patternFill>
      </fill>
    </dxf>
    <dxf>
      <font>
        <b/>
        <i val="0"/>
        <color theme="0"/>
      </font>
      <fill>
        <patternFill>
          <bgColor rgb="FFC00000"/>
        </patternFill>
      </fill>
    </dxf>
    <dxf>
      <fill>
        <patternFill>
          <bgColor rgb="FFCCFFCC"/>
        </patternFill>
      </fill>
    </dxf>
    <dxf>
      <fill>
        <patternFill>
          <bgColor rgb="FF66FF66"/>
        </patternFill>
      </fill>
    </dxf>
    <dxf>
      <fill>
        <patternFill>
          <bgColor rgb="FFFFFF00"/>
        </patternFill>
      </fill>
    </dxf>
    <dxf>
      <fill>
        <patternFill>
          <bgColor rgb="FFFF0000"/>
        </patternFill>
      </fill>
    </dxf>
    <dxf>
      <font>
        <b/>
        <i val="0"/>
        <color theme="0"/>
      </font>
      <fill>
        <patternFill patternType="solid">
          <fgColor auto="1"/>
          <bgColor rgb="FFC00000"/>
        </patternFill>
      </fill>
    </dxf>
    <dxf>
      <fill>
        <patternFill patternType="lightGray"/>
      </fill>
    </dxf>
    <dxf>
      <fill>
        <patternFill>
          <bgColor rgb="FFCCFFCC"/>
        </patternFill>
      </fill>
    </dxf>
    <dxf>
      <fill>
        <patternFill>
          <bgColor rgb="FF66FF66"/>
        </patternFill>
      </fill>
    </dxf>
    <dxf>
      <fill>
        <patternFill>
          <bgColor rgb="FFFFFF00"/>
        </patternFill>
      </fill>
    </dxf>
    <dxf>
      <fill>
        <patternFill>
          <bgColor rgb="FFFF0000"/>
        </patternFill>
      </fill>
    </dxf>
    <dxf>
      <font>
        <b/>
        <i val="0"/>
        <color theme="0"/>
      </font>
      <fill>
        <patternFill>
          <bgColor rgb="FFC00000"/>
        </patternFill>
      </fill>
    </dxf>
    <dxf>
      <font>
        <b/>
        <i val="0"/>
        <color rgb="FFFF0000"/>
      </font>
    </dxf>
    <dxf>
      <font>
        <b/>
        <i val="0"/>
        <color rgb="FFFF0000"/>
      </font>
      <fill>
        <gradientFill type="path" left="0.5" right="0.5" top="0.5" bottom="0.5">
          <stop position="0">
            <color rgb="FFFFFF00"/>
          </stop>
          <stop position="1">
            <color theme="0"/>
          </stop>
        </gradientFill>
      </fill>
    </dxf>
    <dxf>
      <fill>
        <patternFill patternType="lightGray"/>
      </fill>
    </dxf>
    <dxf>
      <fill>
        <patternFill patternType="lightGray"/>
      </fill>
    </dxf>
    <dxf>
      <fill>
        <patternFill>
          <bgColor rgb="FFFFCC99"/>
        </patternFill>
      </fill>
      <border>
        <left style="thin">
          <color rgb="FF7F7F7F"/>
        </left>
        <right style="thin">
          <color rgb="FF7F7F7F"/>
        </right>
        <top style="thin">
          <color rgb="FF7F7F7F"/>
        </top>
        <bottom style="thin">
          <color rgb="FF7F7F7F"/>
        </bottom>
        <vertical/>
        <horizontal/>
      </border>
    </dxf>
  </dxfs>
  <tableStyles count="0" defaultTableStyle="TableStyleMedium2" defaultPivotStyle="PivotStyleLight16"/>
  <colors>
    <mruColors>
      <color rgb="FFFFECD9"/>
      <color rgb="FFC00000"/>
      <color rgb="FF66FF66"/>
      <color rgb="FFCCFFCC"/>
      <color rgb="FF00FF00"/>
      <color rgb="FFFFCC99"/>
      <color rgb="FF7F7F7F"/>
      <color rgb="FF0563C1"/>
      <color rgb="FFEAEAEA"/>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microsoft.com/office/2007/relationships/hdphoto" Target="../media/hdphoto1.wdp"/><Relationship Id="rId7" Type="http://schemas.microsoft.com/office/2007/relationships/hdphoto" Target="../media/hdphoto3.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5" Type="http://schemas.microsoft.com/office/2007/relationships/hdphoto" Target="../media/hdphoto2.wdp"/><Relationship Id="rId10" Type="http://schemas.openxmlformats.org/officeDocument/2006/relationships/image" Target="../media/image6.png"/><Relationship Id="rId4" Type="http://schemas.openxmlformats.org/officeDocument/2006/relationships/image" Target="../media/image3.png"/><Relationship Id="rId9" Type="http://schemas.microsoft.com/office/2007/relationships/hdphoto" Target="../media/hdphoto4.wdp"/></Relationships>
</file>

<file path=xl/drawings/_rels/drawing2.xml.rels><?xml version="1.0" encoding="UTF-8" standalone="yes"?>
<Relationships xmlns="http://schemas.openxmlformats.org/package/2006/relationships"><Relationship Id="rId1" Type="http://schemas.openxmlformats.org/officeDocument/2006/relationships/hyperlink" Target="#Installatie!C17"/></Relationships>
</file>

<file path=xl/drawings/_rels/drawing3.xml.rels><?xml version="1.0" encoding="UTF-8" standalone="yes"?>
<Relationships xmlns="http://schemas.openxmlformats.org/package/2006/relationships"><Relationship Id="rId3" Type="http://schemas.openxmlformats.org/officeDocument/2006/relationships/hyperlink" Target="#Installatie!C19"/><Relationship Id="rId2" Type="http://schemas.openxmlformats.org/officeDocument/2006/relationships/hyperlink" Target="#Installatie!C17"/><Relationship Id="rId1" Type="http://schemas.openxmlformats.org/officeDocument/2006/relationships/hyperlink" Target="#Installatie!C18"/><Relationship Id="rId4" Type="http://schemas.openxmlformats.org/officeDocument/2006/relationships/hyperlink" Target="#Installatie!C15"/></Relationships>
</file>

<file path=xl/drawings/_rels/drawing4.xml.rels><?xml version="1.0" encoding="UTF-8" standalone="yes"?>
<Relationships xmlns="http://schemas.openxmlformats.org/package/2006/relationships"><Relationship Id="rId8" Type="http://schemas.openxmlformats.org/officeDocument/2006/relationships/hyperlink" Target="https://www.youtube.com/watch?v=dzWSKLDsCeY" TargetMode="External"/><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5178</xdr:rowOff>
    </xdr:from>
    <xdr:to>
      <xdr:col>1</xdr:col>
      <xdr:colOff>600075</xdr:colOff>
      <xdr:row>3</xdr:row>
      <xdr:rowOff>123825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586203"/>
          <a:ext cx="561975" cy="509172"/>
        </a:xfrm>
        <a:prstGeom prst="rect">
          <a:avLst/>
        </a:prstGeom>
      </xdr:spPr>
    </xdr:pic>
    <xdr:clientData/>
  </xdr:twoCellAnchor>
  <xdr:twoCellAnchor>
    <xdr:from>
      <xdr:col>5</xdr:col>
      <xdr:colOff>771420</xdr:colOff>
      <xdr:row>31</xdr:row>
      <xdr:rowOff>314604</xdr:rowOff>
    </xdr:from>
    <xdr:to>
      <xdr:col>5</xdr:col>
      <xdr:colOff>771420</xdr:colOff>
      <xdr:row>31</xdr:row>
      <xdr:rowOff>314604</xdr:rowOff>
    </xdr:to>
    <xdr:cxnSp macro="">
      <xdr:nvCxnSpPr>
        <xdr:cNvPr id="69" name="Straight Connector 68"/>
        <xdr:cNvCxnSpPr>
          <a:stCxn id="67" idx="1"/>
          <a:endCxn id="67" idx="1"/>
        </xdr:cNvCxnSpPr>
      </xdr:nvCxnSpPr>
      <xdr:spPr>
        <a:xfrm>
          <a:off x="6411877" y="5830821"/>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993915</xdr:colOff>
      <xdr:row>16</xdr:row>
      <xdr:rowOff>8283</xdr:rowOff>
    </xdr:from>
    <xdr:to>
      <xdr:col>5</xdr:col>
      <xdr:colOff>2361915</xdr:colOff>
      <xdr:row>18</xdr:row>
      <xdr:rowOff>139566</xdr:rowOff>
    </xdr:to>
    <xdr:grpSp>
      <xdr:nvGrpSpPr>
        <xdr:cNvPr id="95" name="Group 94"/>
        <xdr:cNvGrpSpPr/>
      </xdr:nvGrpSpPr>
      <xdr:grpSpPr>
        <a:xfrm>
          <a:off x="6787356" y="3627783"/>
          <a:ext cx="1368000" cy="512283"/>
          <a:chOff x="5615608" y="3255064"/>
          <a:chExt cx="1368000" cy="720589"/>
        </a:xfrm>
      </xdr:grpSpPr>
      <xdr:sp macro="" textlink="">
        <xdr:nvSpPr>
          <xdr:cNvPr id="92" name="TextBox 91"/>
          <xdr:cNvSpPr txBox="1"/>
        </xdr:nvSpPr>
        <xdr:spPr>
          <a:xfrm>
            <a:off x="5615608" y="3255064"/>
            <a:ext cx="1368000" cy="240197"/>
          </a:xfrm>
          <a:prstGeom prst="rect">
            <a:avLst/>
          </a:prstGeom>
          <a:solidFill>
            <a:schemeClr val="accent1">
              <a:lumMod val="60000"/>
              <a:lumOff val="40000"/>
            </a:schemeClr>
          </a:solidFill>
          <a:ln w="19050" cmpd="sng">
            <a:solidFill>
              <a:schemeClr val="tx1">
                <a:lumMod val="50000"/>
                <a:lumOff val="50000"/>
              </a:schemeClr>
            </a:solidFill>
          </a:ln>
          <a:effectLst>
            <a:outerShdw blurRad="762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36000" bIns="0" rtlCol="0" anchor="t"/>
          <a:lstStyle/>
          <a:p>
            <a:r>
              <a:rPr lang="nl-NL" sz="1100"/>
              <a:t>BP CUI Management.</a:t>
            </a:r>
          </a:p>
        </xdr:txBody>
      </xdr:sp>
      <xdr:sp macro="" textlink="">
        <xdr:nvSpPr>
          <xdr:cNvPr id="93" name="TextBox 92"/>
          <xdr:cNvSpPr txBox="1"/>
        </xdr:nvSpPr>
        <xdr:spPr>
          <a:xfrm>
            <a:off x="5615608" y="3495261"/>
            <a:ext cx="1368000" cy="240197"/>
          </a:xfrm>
          <a:prstGeom prst="rect">
            <a:avLst/>
          </a:prstGeom>
          <a:solidFill>
            <a:srgbClr val="66FF33"/>
          </a:solidFill>
          <a:ln w="19050" cmpd="sng">
            <a:solidFill>
              <a:schemeClr val="tx1">
                <a:lumMod val="50000"/>
                <a:lumOff val="50000"/>
              </a:schemeClr>
            </a:solidFill>
          </a:ln>
          <a:effectLst>
            <a:outerShdw blurRad="762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36000" bIns="0" rtlCol="0" anchor="t"/>
          <a:lstStyle/>
          <a:p>
            <a:r>
              <a:rPr lang="nl-NL" sz="1100"/>
              <a:t>Coating effectiviteit.</a:t>
            </a:r>
          </a:p>
        </xdr:txBody>
      </xdr:sp>
      <xdr:sp macro="" textlink="">
        <xdr:nvSpPr>
          <xdr:cNvPr id="94" name="TextBox 93"/>
          <xdr:cNvSpPr txBox="1"/>
        </xdr:nvSpPr>
        <xdr:spPr>
          <a:xfrm>
            <a:off x="5615608" y="3735456"/>
            <a:ext cx="1368000" cy="240197"/>
          </a:xfrm>
          <a:prstGeom prst="rect">
            <a:avLst/>
          </a:prstGeom>
          <a:solidFill>
            <a:schemeClr val="accent2">
              <a:lumMod val="75000"/>
            </a:schemeClr>
          </a:solidFill>
          <a:ln w="19050" cmpd="sng">
            <a:solidFill>
              <a:schemeClr val="tx1">
                <a:lumMod val="50000"/>
                <a:lumOff val="50000"/>
              </a:schemeClr>
            </a:solidFill>
          </a:ln>
          <a:effectLst>
            <a:outerShdw blurRad="762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36000" bIns="0" rtlCol="0" anchor="t"/>
          <a:lstStyle/>
          <a:p>
            <a:r>
              <a:rPr lang="nl-NL" sz="1100">
                <a:solidFill>
                  <a:schemeClr val="bg1"/>
                </a:solidFill>
              </a:rPr>
              <a:t>NDO effectiviteit.</a:t>
            </a:r>
          </a:p>
        </xdr:txBody>
      </xdr:sp>
    </xdr:grpSp>
    <xdr:clientData/>
  </xdr:twoCellAnchor>
  <xdr:twoCellAnchor editAs="oneCell">
    <xdr:from>
      <xdr:col>2</xdr:col>
      <xdr:colOff>2141482</xdr:colOff>
      <xdr:row>20</xdr:row>
      <xdr:rowOff>157655</xdr:rowOff>
    </xdr:from>
    <xdr:to>
      <xdr:col>2</xdr:col>
      <xdr:colOff>2387115</xdr:colOff>
      <xdr:row>22</xdr:row>
      <xdr:rowOff>24584</xdr:rowOff>
    </xdr:to>
    <xdr:pic>
      <xdr:nvPicPr>
        <xdr:cNvPr id="38" name="Picture 37"/>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0" b="93333" l="1667" r="93333">
                      <a14:foregroundMark x1="85000" y1="86667" x2="85000" y2="86667"/>
                      <a14:foregroundMark x1="36667" y1="31667" x2="36667" y2="31667"/>
                      <a14:foregroundMark x1="58333" y1="23333" x2="58333" y2="23333"/>
                      <a14:foregroundMark x1="56667" y1="51667" x2="56667" y2="51667"/>
                      <a14:foregroundMark x1="16667" y1="51667" x2="16667" y2="51667"/>
                      <a14:foregroundMark x1="93333" y1="93333" x2="93333" y2="93333"/>
                    </a14:backgroundRemoval>
                  </a14:imgEffect>
                </a14:imgLayer>
              </a14:imgProps>
            </a:ext>
            <a:ext uri="{28A0092B-C50C-407E-A947-70E740481C1C}">
              <a14:useLocalDpi xmlns:a14="http://schemas.microsoft.com/office/drawing/2010/main" val="0"/>
            </a:ext>
          </a:extLst>
        </a:blip>
        <a:stretch>
          <a:fillRect/>
        </a:stretch>
      </xdr:blipFill>
      <xdr:spPr>
        <a:xfrm>
          <a:off x="3685189" y="4151586"/>
          <a:ext cx="245633" cy="247929"/>
        </a:xfrm>
        <a:prstGeom prst="rect">
          <a:avLst/>
        </a:prstGeom>
      </xdr:spPr>
    </xdr:pic>
    <xdr:clientData/>
  </xdr:twoCellAnchor>
  <xdr:twoCellAnchor editAs="oneCell">
    <xdr:from>
      <xdr:col>2</xdr:col>
      <xdr:colOff>260255</xdr:colOff>
      <xdr:row>20</xdr:row>
      <xdr:rowOff>167739</xdr:rowOff>
    </xdr:from>
    <xdr:to>
      <xdr:col>2</xdr:col>
      <xdr:colOff>443531</xdr:colOff>
      <xdr:row>21</xdr:row>
      <xdr:rowOff>174840</xdr:rowOff>
    </xdr:to>
    <xdr:pic>
      <xdr:nvPicPr>
        <xdr:cNvPr id="39" name="Picture 38"/>
        <xdr:cNvPicPr>
          <a:picLocks noChangeAspect="1" noChangeArrowheads="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0" b="100000" l="0" r="96667">
                      <a14:foregroundMark x1="91667" y1="92308" x2="91667" y2="92308"/>
                      <a14:foregroundMark x1="93333" y1="96923" x2="93333" y2="96923"/>
                      <a14:foregroundMark x1="93333" y1="96923" x2="93333" y2="96923"/>
                      <a14:backgroundMark x1="90000" y1="98462" x2="90000" y2="98462"/>
                    </a14:backgroundRemoval>
                  </a14:imgEffect>
                </a14:imgLayer>
              </a14:imgProps>
            </a:ext>
            <a:ext uri="{28A0092B-C50C-407E-A947-70E740481C1C}">
              <a14:useLocalDpi xmlns:a14="http://schemas.microsoft.com/office/drawing/2010/main" val="0"/>
            </a:ext>
          </a:extLst>
        </a:blip>
        <a:srcRect/>
        <a:stretch>
          <a:fillRect/>
        </a:stretch>
      </xdr:blipFill>
      <xdr:spPr bwMode="auto">
        <a:xfrm>
          <a:off x="1806026" y="4173682"/>
          <a:ext cx="183276" cy="197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21</xdr:row>
      <xdr:rowOff>163286</xdr:rowOff>
    </xdr:from>
    <xdr:to>
      <xdr:col>2</xdr:col>
      <xdr:colOff>445233</xdr:colOff>
      <xdr:row>22</xdr:row>
      <xdr:rowOff>161512</xdr:rowOff>
    </xdr:to>
    <xdr:pic>
      <xdr:nvPicPr>
        <xdr:cNvPr id="78" name="Picture 77"/>
        <xdr:cNvPicPr>
          <a:picLocks noChangeAspect="1" noChangeArrowheads="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1786" b="100000" l="0" r="100000">
                      <a14:backgroundMark x1="15385" y1="28889" x2="15385" y2="28889"/>
                      <a14:backgroundMark x1="82692" y1="22222" x2="82692" y2="22222"/>
                    </a14:backgroundRemoval>
                  </a14:imgEffect>
                </a14:imgLayer>
              </a14:imgProps>
            </a:ext>
            <a:ext uri="{28A0092B-C50C-407E-A947-70E740481C1C}">
              <a14:useLocalDpi xmlns:a14="http://schemas.microsoft.com/office/drawing/2010/main" val="0"/>
            </a:ext>
          </a:extLst>
        </a:blip>
        <a:srcRect/>
        <a:stretch>
          <a:fillRect/>
        </a:stretch>
      </xdr:blipFill>
      <xdr:spPr bwMode="auto">
        <a:xfrm>
          <a:off x="1774372" y="4359729"/>
          <a:ext cx="216632" cy="188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2177804</xdr:colOff>
      <xdr:row>22</xdr:row>
      <xdr:rowOff>24252</xdr:rowOff>
    </xdr:from>
    <xdr:ext cx="143936" cy="159496"/>
    <xdr:pic>
      <xdr:nvPicPr>
        <xdr:cNvPr id="82" name="Picture 81"/>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91429">
                      <a14:foregroundMark x1="91429" y1="90000" x2="91429" y2="90000"/>
                      <a14:backgroundMark x1="71429" y1="35000" x2="71429" y2="35000"/>
                    </a14:backgroundRemoval>
                  </a14:imgEffect>
                </a14:imgLayer>
              </a14:imgProps>
            </a:ext>
            <a:ext uri="{28A0092B-C50C-407E-A947-70E740481C1C}">
              <a14:useLocalDpi xmlns:a14="http://schemas.microsoft.com/office/drawing/2010/main" val="0"/>
            </a:ext>
          </a:extLst>
        </a:blip>
        <a:stretch>
          <a:fillRect/>
        </a:stretch>
      </xdr:blipFill>
      <xdr:spPr bwMode="auto">
        <a:xfrm>
          <a:off x="3720854" y="4405752"/>
          <a:ext cx="143936" cy="1594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363328</xdr:colOff>
      <xdr:row>25</xdr:row>
      <xdr:rowOff>16399</xdr:rowOff>
    </xdr:from>
    <xdr:to>
      <xdr:col>4</xdr:col>
      <xdr:colOff>136527</xdr:colOff>
      <xdr:row>40</xdr:row>
      <xdr:rowOff>100853</xdr:rowOff>
    </xdr:to>
    <xdr:pic>
      <xdr:nvPicPr>
        <xdr:cNvPr id="12" name="Picture 1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98534" y="4969399"/>
          <a:ext cx="2978081" cy="4084954"/>
        </a:xfrm>
        <a:prstGeom prst="rect">
          <a:avLst/>
        </a:prstGeom>
      </xdr:spPr>
    </xdr:pic>
    <xdr:clientData/>
  </xdr:twoCellAnchor>
  <xdr:twoCellAnchor>
    <xdr:from>
      <xdr:col>2</xdr:col>
      <xdr:colOff>2090592</xdr:colOff>
      <xdr:row>29</xdr:row>
      <xdr:rowOff>106542</xdr:rowOff>
    </xdr:from>
    <xdr:to>
      <xdr:col>5</xdr:col>
      <xdr:colOff>210085</xdr:colOff>
      <xdr:row>34</xdr:row>
      <xdr:rowOff>113176</xdr:rowOff>
    </xdr:to>
    <xdr:sp macro="" textlink="">
      <xdr:nvSpPr>
        <xdr:cNvPr id="98" name="Freeform 97"/>
        <xdr:cNvSpPr/>
      </xdr:nvSpPr>
      <xdr:spPr>
        <a:xfrm>
          <a:off x="3633642" y="6400662"/>
          <a:ext cx="2367643" cy="1530634"/>
        </a:xfrm>
        <a:custGeom>
          <a:avLst/>
          <a:gdLst>
            <a:gd name="connsiteX0" fmla="*/ 0 w 91120"/>
            <a:gd name="connsiteY0" fmla="*/ 0 h 289891"/>
            <a:gd name="connsiteX1" fmla="*/ 16565 w 91120"/>
            <a:gd name="connsiteY1" fmla="*/ 74543 h 289891"/>
            <a:gd name="connsiteX2" fmla="*/ 41413 w 91120"/>
            <a:gd name="connsiteY2" fmla="*/ 124239 h 289891"/>
            <a:gd name="connsiteX3" fmla="*/ 74544 w 91120"/>
            <a:gd name="connsiteY3" fmla="*/ 207065 h 289891"/>
            <a:gd name="connsiteX4" fmla="*/ 82826 w 91120"/>
            <a:gd name="connsiteY4" fmla="*/ 248478 h 289891"/>
            <a:gd name="connsiteX5" fmla="*/ 91109 w 91120"/>
            <a:gd name="connsiteY5" fmla="*/ 289891 h 289891"/>
            <a:gd name="connsiteX0" fmla="*/ 0 w 91109"/>
            <a:gd name="connsiteY0" fmla="*/ 0 h 289891"/>
            <a:gd name="connsiteX1" fmla="*/ 16565 w 91109"/>
            <a:gd name="connsiteY1" fmla="*/ 74543 h 289891"/>
            <a:gd name="connsiteX2" fmla="*/ 41413 w 91109"/>
            <a:gd name="connsiteY2" fmla="*/ 124239 h 289891"/>
            <a:gd name="connsiteX3" fmla="*/ 74544 w 91109"/>
            <a:gd name="connsiteY3" fmla="*/ 207065 h 289891"/>
            <a:gd name="connsiteX4" fmla="*/ 91109 w 91109"/>
            <a:gd name="connsiteY4" fmla="*/ 289891 h 289891"/>
            <a:gd name="connsiteX0" fmla="*/ 0 w 91109"/>
            <a:gd name="connsiteY0" fmla="*/ 0 h 289891"/>
            <a:gd name="connsiteX1" fmla="*/ 16565 w 91109"/>
            <a:gd name="connsiteY1" fmla="*/ 74543 h 289891"/>
            <a:gd name="connsiteX2" fmla="*/ 41413 w 91109"/>
            <a:gd name="connsiteY2" fmla="*/ 124239 h 289891"/>
            <a:gd name="connsiteX3" fmla="*/ 74544 w 91109"/>
            <a:gd name="connsiteY3" fmla="*/ 207065 h 289891"/>
            <a:gd name="connsiteX4" fmla="*/ 82827 w 91109"/>
            <a:gd name="connsiteY4" fmla="*/ 198782 h 289891"/>
            <a:gd name="connsiteX5" fmla="*/ 91109 w 91109"/>
            <a:gd name="connsiteY5" fmla="*/ 289891 h 289891"/>
            <a:gd name="connsiteX0" fmla="*/ 0 w 91109"/>
            <a:gd name="connsiteY0" fmla="*/ 0 h 289891"/>
            <a:gd name="connsiteX1" fmla="*/ 16565 w 91109"/>
            <a:gd name="connsiteY1" fmla="*/ 74543 h 289891"/>
            <a:gd name="connsiteX2" fmla="*/ 41413 w 91109"/>
            <a:gd name="connsiteY2" fmla="*/ 124239 h 289891"/>
            <a:gd name="connsiteX3" fmla="*/ 74544 w 91109"/>
            <a:gd name="connsiteY3" fmla="*/ 207065 h 289891"/>
            <a:gd name="connsiteX4" fmla="*/ 91109 w 91109"/>
            <a:gd name="connsiteY4" fmla="*/ 289891 h 289891"/>
            <a:gd name="connsiteX0" fmla="*/ 0 w 91109"/>
            <a:gd name="connsiteY0" fmla="*/ 0 h 289891"/>
            <a:gd name="connsiteX1" fmla="*/ 16565 w 91109"/>
            <a:gd name="connsiteY1" fmla="*/ 74543 h 289891"/>
            <a:gd name="connsiteX2" fmla="*/ 41413 w 91109"/>
            <a:gd name="connsiteY2" fmla="*/ 124239 h 289891"/>
            <a:gd name="connsiteX3" fmla="*/ 91109 w 91109"/>
            <a:gd name="connsiteY3" fmla="*/ 289891 h 289891"/>
            <a:gd name="connsiteX0" fmla="*/ 0 w 91109"/>
            <a:gd name="connsiteY0" fmla="*/ 0 h 289891"/>
            <a:gd name="connsiteX1" fmla="*/ 16565 w 91109"/>
            <a:gd name="connsiteY1" fmla="*/ 74543 h 289891"/>
            <a:gd name="connsiteX2" fmla="*/ 91109 w 91109"/>
            <a:gd name="connsiteY2" fmla="*/ 289891 h 289891"/>
            <a:gd name="connsiteX0" fmla="*/ 0 w 91109"/>
            <a:gd name="connsiteY0" fmla="*/ 0 h 289891"/>
            <a:gd name="connsiteX1" fmla="*/ 91109 w 91109"/>
            <a:gd name="connsiteY1" fmla="*/ 289891 h 289891"/>
            <a:gd name="connsiteX0" fmla="*/ 173935 w 173935"/>
            <a:gd name="connsiteY0" fmla="*/ 0 h 728869"/>
            <a:gd name="connsiteX1" fmla="*/ 0 w 173935"/>
            <a:gd name="connsiteY1" fmla="*/ 728869 h 728869"/>
            <a:gd name="connsiteX0" fmla="*/ 173935 w 173935"/>
            <a:gd name="connsiteY0" fmla="*/ 0 h 728869"/>
            <a:gd name="connsiteX1" fmla="*/ 0 w 173935"/>
            <a:gd name="connsiteY1" fmla="*/ 728869 h 728869"/>
            <a:gd name="connsiteX0" fmla="*/ 173935 w 204354"/>
            <a:gd name="connsiteY0" fmla="*/ 0 h 728869"/>
            <a:gd name="connsiteX1" fmla="*/ 0 w 204354"/>
            <a:gd name="connsiteY1" fmla="*/ 728869 h 728869"/>
            <a:gd name="connsiteX0" fmla="*/ 57979 w 135384"/>
            <a:gd name="connsiteY0" fmla="*/ 0 h 753717"/>
            <a:gd name="connsiteX1" fmla="*/ 0 w 135384"/>
            <a:gd name="connsiteY1" fmla="*/ 753717 h 753717"/>
            <a:gd name="connsiteX0" fmla="*/ 140805 w 180750"/>
            <a:gd name="connsiteY0" fmla="*/ 0 h 811695"/>
            <a:gd name="connsiteX1" fmla="*/ 0 w 180750"/>
            <a:gd name="connsiteY1" fmla="*/ 811695 h 811695"/>
            <a:gd name="connsiteX0" fmla="*/ 140805 w 172407"/>
            <a:gd name="connsiteY0" fmla="*/ 0 h 811695"/>
            <a:gd name="connsiteX1" fmla="*/ 0 w 172407"/>
            <a:gd name="connsiteY1" fmla="*/ 811695 h 811695"/>
            <a:gd name="connsiteX0" fmla="*/ 0 w 1473571"/>
            <a:gd name="connsiteY0" fmla="*/ 0 h 571499"/>
            <a:gd name="connsiteX1" fmla="*/ 1457738 w 1473571"/>
            <a:gd name="connsiteY1" fmla="*/ 571499 h 571499"/>
            <a:gd name="connsiteX0" fmla="*/ 0 w 1457738"/>
            <a:gd name="connsiteY0" fmla="*/ 0 h 571499"/>
            <a:gd name="connsiteX1" fmla="*/ 1457738 w 1457738"/>
            <a:gd name="connsiteY1" fmla="*/ 571499 h 571499"/>
            <a:gd name="connsiteX0" fmla="*/ 0 w 380999"/>
            <a:gd name="connsiteY0" fmla="*/ 0 h 447260"/>
            <a:gd name="connsiteX1" fmla="*/ 380999 w 380999"/>
            <a:gd name="connsiteY1" fmla="*/ 447260 h 447260"/>
            <a:gd name="connsiteX0" fmla="*/ 0 w 380999"/>
            <a:gd name="connsiteY0" fmla="*/ 0 h 447260"/>
            <a:gd name="connsiteX1" fmla="*/ 380999 w 380999"/>
            <a:gd name="connsiteY1" fmla="*/ 447260 h 447260"/>
            <a:gd name="connsiteX0" fmla="*/ 0 w 273325"/>
            <a:gd name="connsiteY0" fmla="*/ 0 h 447260"/>
            <a:gd name="connsiteX1" fmla="*/ 273325 w 273325"/>
            <a:gd name="connsiteY1" fmla="*/ 447260 h 447260"/>
            <a:gd name="connsiteX0" fmla="*/ 0 w 273325"/>
            <a:gd name="connsiteY0" fmla="*/ 0 h 447260"/>
            <a:gd name="connsiteX1" fmla="*/ 273325 w 273325"/>
            <a:gd name="connsiteY1" fmla="*/ 447260 h 447260"/>
            <a:gd name="connsiteX0" fmla="*/ 0 w 366182"/>
            <a:gd name="connsiteY0" fmla="*/ 82083 h 154602"/>
            <a:gd name="connsiteX1" fmla="*/ 366182 w 366182"/>
            <a:gd name="connsiteY1" fmla="*/ 41477 h 154602"/>
            <a:gd name="connsiteX0" fmla="*/ 0 w 366182"/>
            <a:gd name="connsiteY0" fmla="*/ 40606 h 228129"/>
            <a:gd name="connsiteX1" fmla="*/ 366182 w 366182"/>
            <a:gd name="connsiteY1" fmla="*/ 0 h 228129"/>
            <a:gd name="connsiteX0" fmla="*/ 0 w 347102"/>
            <a:gd name="connsiteY0" fmla="*/ 0 h 253397"/>
            <a:gd name="connsiteX1" fmla="*/ 347102 w 347102"/>
            <a:gd name="connsiteY1" fmla="*/ 75553 h 253397"/>
            <a:gd name="connsiteX0" fmla="*/ 0 w 344130"/>
            <a:gd name="connsiteY0" fmla="*/ 0 h 263969"/>
            <a:gd name="connsiteX1" fmla="*/ 344130 w 344130"/>
            <a:gd name="connsiteY1" fmla="*/ 91882 h 263969"/>
            <a:gd name="connsiteX0" fmla="*/ 0 w 348308"/>
            <a:gd name="connsiteY0" fmla="*/ 0 h 261476"/>
            <a:gd name="connsiteX1" fmla="*/ 348308 w 348308"/>
            <a:gd name="connsiteY1" fmla="*/ 88072 h 261476"/>
            <a:gd name="connsiteX0" fmla="*/ 0 w 348308"/>
            <a:gd name="connsiteY0" fmla="*/ 0 h 126859"/>
            <a:gd name="connsiteX1" fmla="*/ 348308 w 348308"/>
            <a:gd name="connsiteY1" fmla="*/ 88072 h 126859"/>
            <a:gd name="connsiteX0" fmla="*/ 0 w 651248"/>
            <a:gd name="connsiteY0" fmla="*/ 0 h 1452052"/>
            <a:gd name="connsiteX1" fmla="*/ 651248 w 651248"/>
            <a:gd name="connsiteY1" fmla="*/ 1452052 h 1452052"/>
            <a:gd name="connsiteX0" fmla="*/ 0 w 651248"/>
            <a:gd name="connsiteY0" fmla="*/ 767 h 1452819"/>
            <a:gd name="connsiteX1" fmla="*/ 651248 w 651248"/>
            <a:gd name="connsiteY1" fmla="*/ 1452819 h 1452819"/>
            <a:gd name="connsiteX0" fmla="*/ 0 w 651248"/>
            <a:gd name="connsiteY0" fmla="*/ 68480 h 1520532"/>
            <a:gd name="connsiteX1" fmla="*/ 432775 w 651248"/>
            <a:gd name="connsiteY1" fmla="*/ 119577 h 1520532"/>
            <a:gd name="connsiteX2" fmla="*/ 651248 w 651248"/>
            <a:gd name="connsiteY2" fmla="*/ 1520532 h 1520532"/>
            <a:gd name="connsiteX0" fmla="*/ 0 w 651248"/>
            <a:gd name="connsiteY0" fmla="*/ 68480 h 1520532"/>
            <a:gd name="connsiteX1" fmla="*/ 432775 w 651248"/>
            <a:gd name="connsiteY1" fmla="*/ 119577 h 1520532"/>
            <a:gd name="connsiteX2" fmla="*/ 651248 w 651248"/>
            <a:gd name="connsiteY2" fmla="*/ 1520532 h 1520532"/>
            <a:gd name="connsiteX0" fmla="*/ 0 w 651248"/>
            <a:gd name="connsiteY0" fmla="*/ 0 h 1452052"/>
            <a:gd name="connsiteX1" fmla="*/ 432775 w 651248"/>
            <a:gd name="connsiteY1" fmla="*/ 51097 h 1452052"/>
            <a:gd name="connsiteX2" fmla="*/ 651248 w 651248"/>
            <a:gd name="connsiteY2" fmla="*/ 1452052 h 1452052"/>
            <a:gd name="connsiteX0" fmla="*/ 0 w 651248"/>
            <a:gd name="connsiteY0" fmla="*/ 16828 h 1468880"/>
            <a:gd name="connsiteX1" fmla="*/ 429641 w 651248"/>
            <a:gd name="connsiteY1" fmla="*/ 41255 h 1468880"/>
            <a:gd name="connsiteX2" fmla="*/ 651248 w 651248"/>
            <a:gd name="connsiteY2" fmla="*/ 1468880 h 1468880"/>
            <a:gd name="connsiteX0" fmla="*/ 0 w 651248"/>
            <a:gd name="connsiteY0" fmla="*/ 10849 h 1462901"/>
            <a:gd name="connsiteX1" fmla="*/ 429641 w 651248"/>
            <a:gd name="connsiteY1" fmla="*/ 35276 h 1462901"/>
            <a:gd name="connsiteX2" fmla="*/ 651248 w 651248"/>
            <a:gd name="connsiteY2" fmla="*/ 1462901 h 1462901"/>
            <a:gd name="connsiteX0" fmla="*/ 0 w 650203"/>
            <a:gd name="connsiteY0" fmla="*/ 50468 h 1529190"/>
            <a:gd name="connsiteX1" fmla="*/ 428596 w 650203"/>
            <a:gd name="connsiteY1" fmla="*/ 101565 h 1529190"/>
            <a:gd name="connsiteX2" fmla="*/ 650203 w 650203"/>
            <a:gd name="connsiteY2" fmla="*/ 1529190 h 1529190"/>
            <a:gd name="connsiteX0" fmla="*/ 0 w 650203"/>
            <a:gd name="connsiteY0" fmla="*/ 79512 h 1558234"/>
            <a:gd name="connsiteX1" fmla="*/ 428596 w 650203"/>
            <a:gd name="connsiteY1" fmla="*/ 130609 h 1558234"/>
            <a:gd name="connsiteX2" fmla="*/ 650203 w 650203"/>
            <a:gd name="connsiteY2" fmla="*/ 1558234 h 1558234"/>
            <a:gd name="connsiteX0" fmla="*/ 0 w 650203"/>
            <a:gd name="connsiteY0" fmla="*/ 72307 h 1551029"/>
            <a:gd name="connsiteX1" fmla="*/ 430685 w 650203"/>
            <a:gd name="connsiteY1" fmla="*/ 134834 h 1551029"/>
            <a:gd name="connsiteX2" fmla="*/ 650203 w 650203"/>
            <a:gd name="connsiteY2" fmla="*/ 1551029 h 1551029"/>
            <a:gd name="connsiteX0" fmla="*/ 0 w 650203"/>
            <a:gd name="connsiteY0" fmla="*/ 72307 h 1551029"/>
            <a:gd name="connsiteX1" fmla="*/ 430685 w 650203"/>
            <a:gd name="connsiteY1" fmla="*/ 134834 h 1551029"/>
            <a:gd name="connsiteX2" fmla="*/ 650203 w 650203"/>
            <a:gd name="connsiteY2" fmla="*/ 1551029 h 1551029"/>
            <a:gd name="connsiteX0" fmla="*/ 0 w 649158"/>
            <a:gd name="connsiteY0" fmla="*/ 70962 h 1530634"/>
            <a:gd name="connsiteX1" fmla="*/ 430685 w 649158"/>
            <a:gd name="connsiteY1" fmla="*/ 133489 h 1530634"/>
            <a:gd name="connsiteX2" fmla="*/ 649158 w 649158"/>
            <a:gd name="connsiteY2" fmla="*/ 1530634 h 1530634"/>
          </a:gdLst>
          <a:ahLst/>
          <a:cxnLst>
            <a:cxn ang="0">
              <a:pos x="connsiteX0" y="connsiteY0"/>
            </a:cxn>
            <a:cxn ang="0">
              <a:pos x="connsiteX1" y="connsiteY1"/>
            </a:cxn>
            <a:cxn ang="0">
              <a:pos x="connsiteX2" y="connsiteY2"/>
            </a:cxn>
          </a:cxnLst>
          <a:rect l="l" t="t" r="r" b="b"/>
          <a:pathLst>
            <a:path w="649158" h="1530634">
              <a:moveTo>
                <a:pt x="0" y="70962"/>
              </a:moveTo>
              <a:cubicBezTo>
                <a:pt x="124012" y="49633"/>
                <a:pt x="322492" y="-109790"/>
                <a:pt x="430685" y="133489"/>
              </a:cubicBezTo>
              <a:cubicBezTo>
                <a:pt x="538878" y="376768"/>
                <a:pt x="532123" y="1521766"/>
                <a:pt x="649158" y="1530634"/>
              </a:cubicBezTo>
            </a:path>
          </a:pathLst>
        </a:custGeom>
        <a:noFill/>
        <a:ln w="9525">
          <a:solidFill>
            <a:srgbClr val="FF0000"/>
          </a:solidFill>
          <a:prstDash val="sysDash"/>
          <a:headEnd type="stealth" w="lg" len="lg"/>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2081098</xdr:colOff>
      <xdr:row>26</xdr:row>
      <xdr:rowOff>118856</xdr:rowOff>
    </xdr:from>
    <xdr:to>
      <xdr:col>5</xdr:col>
      <xdr:colOff>1186139</xdr:colOff>
      <xdr:row>33</xdr:row>
      <xdr:rowOff>184785</xdr:rowOff>
    </xdr:to>
    <xdr:sp macro="" textlink="">
      <xdr:nvSpPr>
        <xdr:cNvPr id="97" name="Freeform 96"/>
        <xdr:cNvSpPr/>
      </xdr:nvSpPr>
      <xdr:spPr>
        <a:xfrm>
          <a:off x="3624148" y="5269976"/>
          <a:ext cx="3353191" cy="2542429"/>
        </a:xfrm>
        <a:custGeom>
          <a:avLst/>
          <a:gdLst>
            <a:gd name="connsiteX0" fmla="*/ 0 w 91120"/>
            <a:gd name="connsiteY0" fmla="*/ 0 h 289891"/>
            <a:gd name="connsiteX1" fmla="*/ 16565 w 91120"/>
            <a:gd name="connsiteY1" fmla="*/ 74543 h 289891"/>
            <a:gd name="connsiteX2" fmla="*/ 41413 w 91120"/>
            <a:gd name="connsiteY2" fmla="*/ 124239 h 289891"/>
            <a:gd name="connsiteX3" fmla="*/ 74544 w 91120"/>
            <a:gd name="connsiteY3" fmla="*/ 207065 h 289891"/>
            <a:gd name="connsiteX4" fmla="*/ 82826 w 91120"/>
            <a:gd name="connsiteY4" fmla="*/ 248478 h 289891"/>
            <a:gd name="connsiteX5" fmla="*/ 91109 w 91120"/>
            <a:gd name="connsiteY5" fmla="*/ 289891 h 289891"/>
            <a:gd name="connsiteX0" fmla="*/ 0 w 91109"/>
            <a:gd name="connsiteY0" fmla="*/ 0 h 289891"/>
            <a:gd name="connsiteX1" fmla="*/ 16565 w 91109"/>
            <a:gd name="connsiteY1" fmla="*/ 74543 h 289891"/>
            <a:gd name="connsiteX2" fmla="*/ 41413 w 91109"/>
            <a:gd name="connsiteY2" fmla="*/ 124239 h 289891"/>
            <a:gd name="connsiteX3" fmla="*/ 74544 w 91109"/>
            <a:gd name="connsiteY3" fmla="*/ 207065 h 289891"/>
            <a:gd name="connsiteX4" fmla="*/ 91109 w 91109"/>
            <a:gd name="connsiteY4" fmla="*/ 289891 h 289891"/>
            <a:gd name="connsiteX0" fmla="*/ 0 w 91109"/>
            <a:gd name="connsiteY0" fmla="*/ 0 h 289891"/>
            <a:gd name="connsiteX1" fmla="*/ 16565 w 91109"/>
            <a:gd name="connsiteY1" fmla="*/ 74543 h 289891"/>
            <a:gd name="connsiteX2" fmla="*/ 41413 w 91109"/>
            <a:gd name="connsiteY2" fmla="*/ 124239 h 289891"/>
            <a:gd name="connsiteX3" fmla="*/ 74544 w 91109"/>
            <a:gd name="connsiteY3" fmla="*/ 207065 h 289891"/>
            <a:gd name="connsiteX4" fmla="*/ 82827 w 91109"/>
            <a:gd name="connsiteY4" fmla="*/ 198782 h 289891"/>
            <a:gd name="connsiteX5" fmla="*/ 91109 w 91109"/>
            <a:gd name="connsiteY5" fmla="*/ 289891 h 289891"/>
            <a:gd name="connsiteX0" fmla="*/ 0 w 91109"/>
            <a:gd name="connsiteY0" fmla="*/ 0 h 289891"/>
            <a:gd name="connsiteX1" fmla="*/ 16565 w 91109"/>
            <a:gd name="connsiteY1" fmla="*/ 74543 h 289891"/>
            <a:gd name="connsiteX2" fmla="*/ 41413 w 91109"/>
            <a:gd name="connsiteY2" fmla="*/ 124239 h 289891"/>
            <a:gd name="connsiteX3" fmla="*/ 74544 w 91109"/>
            <a:gd name="connsiteY3" fmla="*/ 207065 h 289891"/>
            <a:gd name="connsiteX4" fmla="*/ 91109 w 91109"/>
            <a:gd name="connsiteY4" fmla="*/ 289891 h 289891"/>
            <a:gd name="connsiteX0" fmla="*/ 0 w 91109"/>
            <a:gd name="connsiteY0" fmla="*/ 0 h 289891"/>
            <a:gd name="connsiteX1" fmla="*/ 16565 w 91109"/>
            <a:gd name="connsiteY1" fmla="*/ 74543 h 289891"/>
            <a:gd name="connsiteX2" fmla="*/ 41413 w 91109"/>
            <a:gd name="connsiteY2" fmla="*/ 124239 h 289891"/>
            <a:gd name="connsiteX3" fmla="*/ 91109 w 91109"/>
            <a:gd name="connsiteY3" fmla="*/ 289891 h 289891"/>
            <a:gd name="connsiteX0" fmla="*/ 0 w 91109"/>
            <a:gd name="connsiteY0" fmla="*/ 0 h 289891"/>
            <a:gd name="connsiteX1" fmla="*/ 16565 w 91109"/>
            <a:gd name="connsiteY1" fmla="*/ 74543 h 289891"/>
            <a:gd name="connsiteX2" fmla="*/ 91109 w 91109"/>
            <a:gd name="connsiteY2" fmla="*/ 289891 h 289891"/>
            <a:gd name="connsiteX0" fmla="*/ 0 w 91109"/>
            <a:gd name="connsiteY0" fmla="*/ 0 h 289891"/>
            <a:gd name="connsiteX1" fmla="*/ 91109 w 91109"/>
            <a:gd name="connsiteY1" fmla="*/ 289891 h 289891"/>
            <a:gd name="connsiteX0" fmla="*/ 173935 w 173935"/>
            <a:gd name="connsiteY0" fmla="*/ 0 h 728869"/>
            <a:gd name="connsiteX1" fmla="*/ 0 w 173935"/>
            <a:gd name="connsiteY1" fmla="*/ 728869 h 728869"/>
            <a:gd name="connsiteX0" fmla="*/ 173935 w 173935"/>
            <a:gd name="connsiteY0" fmla="*/ 0 h 728869"/>
            <a:gd name="connsiteX1" fmla="*/ 0 w 173935"/>
            <a:gd name="connsiteY1" fmla="*/ 728869 h 728869"/>
            <a:gd name="connsiteX0" fmla="*/ 173935 w 204354"/>
            <a:gd name="connsiteY0" fmla="*/ 0 h 728869"/>
            <a:gd name="connsiteX1" fmla="*/ 0 w 204354"/>
            <a:gd name="connsiteY1" fmla="*/ 728869 h 728869"/>
            <a:gd name="connsiteX0" fmla="*/ 57979 w 135384"/>
            <a:gd name="connsiteY0" fmla="*/ 0 h 753717"/>
            <a:gd name="connsiteX1" fmla="*/ 0 w 135384"/>
            <a:gd name="connsiteY1" fmla="*/ 753717 h 753717"/>
            <a:gd name="connsiteX0" fmla="*/ 140805 w 180750"/>
            <a:gd name="connsiteY0" fmla="*/ 0 h 811695"/>
            <a:gd name="connsiteX1" fmla="*/ 0 w 180750"/>
            <a:gd name="connsiteY1" fmla="*/ 811695 h 811695"/>
            <a:gd name="connsiteX0" fmla="*/ 140805 w 172407"/>
            <a:gd name="connsiteY0" fmla="*/ 0 h 811695"/>
            <a:gd name="connsiteX1" fmla="*/ 0 w 172407"/>
            <a:gd name="connsiteY1" fmla="*/ 811695 h 811695"/>
            <a:gd name="connsiteX0" fmla="*/ 819979 w 823438"/>
            <a:gd name="connsiteY0" fmla="*/ 0 h 853108"/>
            <a:gd name="connsiteX1" fmla="*/ 0 w 823438"/>
            <a:gd name="connsiteY1" fmla="*/ 853108 h 853108"/>
            <a:gd name="connsiteX0" fmla="*/ 819979 w 824243"/>
            <a:gd name="connsiteY0" fmla="*/ 0 h 853108"/>
            <a:gd name="connsiteX1" fmla="*/ 0 w 824243"/>
            <a:gd name="connsiteY1" fmla="*/ 853108 h 853108"/>
            <a:gd name="connsiteX0" fmla="*/ 819979 w 819979"/>
            <a:gd name="connsiteY0" fmla="*/ 0 h 853108"/>
            <a:gd name="connsiteX1" fmla="*/ 0 w 819979"/>
            <a:gd name="connsiteY1" fmla="*/ 853108 h 853108"/>
            <a:gd name="connsiteX0" fmla="*/ 737153 w 737153"/>
            <a:gd name="connsiteY0" fmla="*/ 0 h 828261"/>
            <a:gd name="connsiteX1" fmla="*/ 0 w 737153"/>
            <a:gd name="connsiteY1" fmla="*/ 828261 h 828261"/>
            <a:gd name="connsiteX0" fmla="*/ 695740 w 695740"/>
            <a:gd name="connsiteY0" fmla="*/ 0 h 836543"/>
            <a:gd name="connsiteX1" fmla="*/ 0 w 695740"/>
            <a:gd name="connsiteY1" fmla="*/ 836543 h 836543"/>
            <a:gd name="connsiteX0" fmla="*/ 1629 w 2135624"/>
            <a:gd name="connsiteY0" fmla="*/ 0 h 859774"/>
            <a:gd name="connsiteX1" fmla="*/ 2105471 w 2135624"/>
            <a:gd name="connsiteY1" fmla="*/ 859774 h 859774"/>
            <a:gd name="connsiteX0" fmla="*/ 0 w 2147895"/>
            <a:gd name="connsiteY0" fmla="*/ 163 h 859937"/>
            <a:gd name="connsiteX1" fmla="*/ 2103842 w 2147895"/>
            <a:gd name="connsiteY1" fmla="*/ 859937 h 859937"/>
            <a:gd name="connsiteX0" fmla="*/ 0 w 2110944"/>
            <a:gd name="connsiteY0" fmla="*/ 200 h 859974"/>
            <a:gd name="connsiteX1" fmla="*/ 2103842 w 2110944"/>
            <a:gd name="connsiteY1" fmla="*/ 859974 h 859974"/>
            <a:gd name="connsiteX0" fmla="*/ 0 w 2680694"/>
            <a:gd name="connsiteY0" fmla="*/ 217 h 813528"/>
            <a:gd name="connsiteX1" fmla="*/ 2675546 w 2680694"/>
            <a:gd name="connsiteY1" fmla="*/ 813528 h 813528"/>
            <a:gd name="connsiteX0" fmla="*/ 0 w 2698485"/>
            <a:gd name="connsiteY0" fmla="*/ 302 h 813613"/>
            <a:gd name="connsiteX1" fmla="*/ 2675546 w 2698485"/>
            <a:gd name="connsiteY1" fmla="*/ 813613 h 813613"/>
            <a:gd name="connsiteX0" fmla="*/ 0 w 2698713"/>
            <a:gd name="connsiteY0" fmla="*/ 885 h 814196"/>
            <a:gd name="connsiteX1" fmla="*/ 2675546 w 2698713"/>
            <a:gd name="connsiteY1" fmla="*/ 814196 h 814196"/>
            <a:gd name="connsiteX0" fmla="*/ 0 w 2698713"/>
            <a:gd name="connsiteY0" fmla="*/ 885 h 814196"/>
            <a:gd name="connsiteX1" fmla="*/ 2675546 w 2698713"/>
            <a:gd name="connsiteY1" fmla="*/ 814196 h 814196"/>
            <a:gd name="connsiteX0" fmla="*/ 0 w 4078290"/>
            <a:gd name="connsiteY0" fmla="*/ 327 h 1494187"/>
            <a:gd name="connsiteX1" fmla="*/ 4063819 w 4078290"/>
            <a:gd name="connsiteY1" fmla="*/ 1494187 h 1494187"/>
            <a:gd name="connsiteX0" fmla="*/ 0 w 4084740"/>
            <a:gd name="connsiteY0" fmla="*/ 0 h 1493860"/>
            <a:gd name="connsiteX1" fmla="*/ 4063819 w 4084740"/>
            <a:gd name="connsiteY1" fmla="*/ 1493860 h 1493860"/>
            <a:gd name="connsiteX0" fmla="*/ 0 w 4087746"/>
            <a:gd name="connsiteY0" fmla="*/ 0 h 1493860"/>
            <a:gd name="connsiteX1" fmla="*/ 3520409 w 4087746"/>
            <a:gd name="connsiteY1" fmla="*/ 509974 h 1493860"/>
            <a:gd name="connsiteX2" fmla="*/ 4063819 w 4087746"/>
            <a:gd name="connsiteY2" fmla="*/ 1493860 h 1493860"/>
            <a:gd name="connsiteX0" fmla="*/ 0 w 4161170"/>
            <a:gd name="connsiteY0" fmla="*/ 0 h 1493860"/>
            <a:gd name="connsiteX1" fmla="*/ 3520409 w 4161170"/>
            <a:gd name="connsiteY1" fmla="*/ 509974 h 1493860"/>
            <a:gd name="connsiteX2" fmla="*/ 4063819 w 4161170"/>
            <a:gd name="connsiteY2" fmla="*/ 1493860 h 1493860"/>
            <a:gd name="connsiteX0" fmla="*/ 0 w 4203438"/>
            <a:gd name="connsiteY0" fmla="*/ 0 h 1493860"/>
            <a:gd name="connsiteX1" fmla="*/ 3718734 w 4203438"/>
            <a:gd name="connsiteY1" fmla="*/ 64483 h 1493860"/>
            <a:gd name="connsiteX2" fmla="*/ 4063819 w 4203438"/>
            <a:gd name="connsiteY2" fmla="*/ 1493860 h 1493860"/>
            <a:gd name="connsiteX0" fmla="*/ 0 w 4203437"/>
            <a:gd name="connsiteY0" fmla="*/ 0 h 1493860"/>
            <a:gd name="connsiteX1" fmla="*/ 3718734 w 4203437"/>
            <a:gd name="connsiteY1" fmla="*/ 64483 h 1493860"/>
            <a:gd name="connsiteX2" fmla="*/ 4063819 w 4203437"/>
            <a:gd name="connsiteY2" fmla="*/ 1493860 h 1493860"/>
            <a:gd name="connsiteX0" fmla="*/ 0 w 4203437"/>
            <a:gd name="connsiteY0" fmla="*/ 0 h 1493860"/>
            <a:gd name="connsiteX1" fmla="*/ 3718734 w 4203437"/>
            <a:gd name="connsiteY1" fmla="*/ 64483 h 1493860"/>
            <a:gd name="connsiteX2" fmla="*/ 4063819 w 4203437"/>
            <a:gd name="connsiteY2" fmla="*/ 1493860 h 1493860"/>
            <a:gd name="connsiteX0" fmla="*/ 0 w 4267166"/>
            <a:gd name="connsiteY0" fmla="*/ 0 h 1493860"/>
            <a:gd name="connsiteX1" fmla="*/ 3718734 w 4267166"/>
            <a:gd name="connsiteY1" fmla="*/ 64483 h 1493860"/>
            <a:gd name="connsiteX2" fmla="*/ 4063819 w 4267166"/>
            <a:gd name="connsiteY2" fmla="*/ 1493860 h 1493860"/>
            <a:gd name="connsiteX0" fmla="*/ 0 w 4234734"/>
            <a:gd name="connsiteY0" fmla="*/ 0 h 1493860"/>
            <a:gd name="connsiteX1" fmla="*/ 3631665 w 4234734"/>
            <a:gd name="connsiteY1" fmla="*/ 24187 h 1493860"/>
            <a:gd name="connsiteX2" fmla="*/ 4063819 w 4234734"/>
            <a:gd name="connsiteY2" fmla="*/ 1493860 h 1493860"/>
            <a:gd name="connsiteX0" fmla="*/ 0 w 4255856"/>
            <a:gd name="connsiteY0" fmla="*/ 40370 h 1534230"/>
            <a:gd name="connsiteX1" fmla="*/ 3631665 w 4255856"/>
            <a:gd name="connsiteY1" fmla="*/ 64557 h 1534230"/>
            <a:gd name="connsiteX2" fmla="*/ 4063819 w 4255856"/>
            <a:gd name="connsiteY2" fmla="*/ 1534230 h 1534230"/>
            <a:gd name="connsiteX0" fmla="*/ 0 w 4254726"/>
            <a:gd name="connsiteY0" fmla="*/ 0 h 1493860"/>
            <a:gd name="connsiteX1" fmla="*/ 3631665 w 4254726"/>
            <a:gd name="connsiteY1" fmla="*/ 24187 h 1493860"/>
            <a:gd name="connsiteX2" fmla="*/ 4063819 w 4254726"/>
            <a:gd name="connsiteY2" fmla="*/ 1493860 h 1493860"/>
            <a:gd name="connsiteX0" fmla="*/ 0 w 4257099"/>
            <a:gd name="connsiteY0" fmla="*/ 0 h 1493860"/>
            <a:gd name="connsiteX1" fmla="*/ 3631665 w 4257099"/>
            <a:gd name="connsiteY1" fmla="*/ 24187 h 1493860"/>
            <a:gd name="connsiteX2" fmla="*/ 4063819 w 4257099"/>
            <a:gd name="connsiteY2" fmla="*/ 1493860 h 1493860"/>
            <a:gd name="connsiteX0" fmla="*/ 0 w 4257222"/>
            <a:gd name="connsiteY0" fmla="*/ 0 h 1493860"/>
            <a:gd name="connsiteX1" fmla="*/ 3631665 w 4257222"/>
            <a:gd name="connsiteY1" fmla="*/ 24187 h 1493860"/>
            <a:gd name="connsiteX2" fmla="*/ 4063819 w 4257222"/>
            <a:gd name="connsiteY2" fmla="*/ 1493860 h 1493860"/>
          </a:gdLst>
          <a:ahLst/>
          <a:cxnLst>
            <a:cxn ang="0">
              <a:pos x="connsiteX0" y="connsiteY0"/>
            </a:cxn>
            <a:cxn ang="0">
              <a:pos x="connsiteX1" y="connsiteY1"/>
            </a:cxn>
            <a:cxn ang="0">
              <a:pos x="connsiteX2" y="connsiteY2"/>
            </a:cxn>
          </a:cxnLst>
          <a:rect l="l" t="t" r="r" b="b"/>
          <a:pathLst>
            <a:path w="4257222" h="1493860">
              <a:moveTo>
                <a:pt x="0" y="0"/>
              </a:moveTo>
              <a:lnTo>
                <a:pt x="3631665" y="24187"/>
              </a:lnTo>
              <a:cubicBezTo>
                <a:pt x="4430223" y="50668"/>
                <a:pt x="4330291" y="1038387"/>
                <a:pt x="4063819" y="1493860"/>
              </a:cubicBezTo>
            </a:path>
          </a:pathLst>
        </a:custGeom>
        <a:noFill/>
        <a:ln w="9525">
          <a:solidFill>
            <a:srgbClr val="FF0000"/>
          </a:solidFill>
          <a:prstDash val="sysDash"/>
          <a:headEnd type="stealth" w="lg" len="lg"/>
          <a:tailEnd type="stealth"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1377315</xdr:colOff>
      <xdr:row>2</xdr:row>
      <xdr:rowOff>6659</xdr:rowOff>
    </xdr:from>
    <xdr:to>
      <xdr:col>3</xdr:col>
      <xdr:colOff>2505</xdr:colOff>
      <xdr:row>2</xdr:row>
      <xdr:rowOff>186659</xdr:rowOff>
    </xdr:to>
    <xdr:sp macro="" textlink="">
      <xdr:nvSpPr>
        <xdr:cNvPr id="7" name="Rectangle 6" descr="Deze tekstbox is vóór de invulvelden geplaatst, om onbedoelde wijzigingen te voorkomen." title="Bescherming!">
          <a:hlinkClick xmlns:r="http://schemas.openxmlformats.org/officeDocument/2006/relationships" r:id="rId1" tooltip="Verwijzing naar de plaats om deze gegevens te veranderen."/>
        </xdr:cNvPr>
        <xdr:cNvSpPr/>
      </xdr:nvSpPr>
      <xdr:spPr>
        <a:xfrm>
          <a:off x="1769745" y="387659"/>
          <a:ext cx="1296000" cy="180000"/>
        </a:xfrm>
        <a:prstGeom prst="rect">
          <a:avLst/>
        </a:prstGeom>
        <a:noFill/>
        <a:ln w="25400">
          <a:solidFill>
            <a:schemeClr val="bg1">
              <a:alpha val="2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8946</xdr:colOff>
      <xdr:row>41</xdr:row>
      <xdr:rowOff>0</xdr:rowOff>
    </xdr:from>
    <xdr:to>
      <xdr:col>2</xdr:col>
      <xdr:colOff>1238420</xdr:colOff>
      <xdr:row>41</xdr:row>
      <xdr:rowOff>180000</xdr:rowOff>
    </xdr:to>
    <xdr:sp macro="" textlink="">
      <xdr:nvSpPr>
        <xdr:cNvPr id="3" name="Rectangle 2" descr="Deze tekstbox is vóór de invulvelden geplaatst, om onbedoelde wijzigingen te voorkomen." title="Bescherming!">
          <a:hlinkClick xmlns:r="http://schemas.openxmlformats.org/officeDocument/2006/relationships" r:id="rId1" tooltip="Verwijzing naar de plaats om deze gegevens te veranderen."/>
        </xdr:cNvPr>
        <xdr:cNvSpPr/>
      </xdr:nvSpPr>
      <xdr:spPr>
        <a:xfrm>
          <a:off x="2126858" y="7855324"/>
          <a:ext cx="1229474" cy="180000"/>
        </a:xfrm>
        <a:prstGeom prst="rect">
          <a:avLst/>
        </a:prstGeom>
        <a:noFill/>
        <a:ln w="25400">
          <a:solidFill>
            <a:schemeClr val="bg1">
              <a:alpha val="2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2801</xdr:colOff>
      <xdr:row>40</xdr:row>
      <xdr:rowOff>0</xdr:rowOff>
    </xdr:from>
    <xdr:to>
      <xdr:col>3</xdr:col>
      <xdr:colOff>717</xdr:colOff>
      <xdr:row>40</xdr:row>
      <xdr:rowOff>180000</xdr:rowOff>
    </xdr:to>
    <xdr:sp macro="" textlink="">
      <xdr:nvSpPr>
        <xdr:cNvPr id="4" name="Rectangle 3" descr="Deze tekstbox is vóór de invulvelden geplaatst, om onbedoelde wijzigingen te voorkomen." title="Bescherming!">
          <a:hlinkClick xmlns:r="http://schemas.openxmlformats.org/officeDocument/2006/relationships" r:id="rId2" tooltip="Verwijzing naar de plaats om deze gegevens te veranderen."/>
        </xdr:cNvPr>
        <xdr:cNvSpPr/>
      </xdr:nvSpPr>
      <xdr:spPr>
        <a:xfrm>
          <a:off x="2120713" y="7664824"/>
          <a:ext cx="1241769" cy="180000"/>
        </a:xfrm>
        <a:prstGeom prst="rect">
          <a:avLst/>
        </a:prstGeom>
        <a:noFill/>
        <a:ln w="25400">
          <a:solidFill>
            <a:schemeClr val="bg1">
              <a:alpha val="2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11209</xdr:colOff>
      <xdr:row>42</xdr:row>
      <xdr:rowOff>22412</xdr:rowOff>
    </xdr:from>
    <xdr:to>
      <xdr:col>2</xdr:col>
      <xdr:colOff>1240683</xdr:colOff>
      <xdr:row>43</xdr:row>
      <xdr:rowOff>707</xdr:rowOff>
    </xdr:to>
    <xdr:sp macro="" textlink="">
      <xdr:nvSpPr>
        <xdr:cNvPr id="5" name="Rectangle 4" descr="Deze tekstbox is vóór de invulvelden geplaatst, om onbedoelde wijzigingen te voorkomen." title="Bescherming!">
          <a:hlinkClick xmlns:r="http://schemas.openxmlformats.org/officeDocument/2006/relationships" r:id="rId3" tooltip="Verwijzing naar de plaats om deze gegevens te veranderen."/>
        </xdr:cNvPr>
        <xdr:cNvSpPr/>
      </xdr:nvSpPr>
      <xdr:spPr>
        <a:xfrm>
          <a:off x="2129121" y="8068236"/>
          <a:ext cx="1229474" cy="180000"/>
        </a:xfrm>
        <a:prstGeom prst="rect">
          <a:avLst/>
        </a:prstGeom>
        <a:noFill/>
        <a:ln w="25400">
          <a:solidFill>
            <a:schemeClr val="bg1">
              <a:alpha val="2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3292</xdr:colOff>
      <xdr:row>43</xdr:row>
      <xdr:rowOff>22412</xdr:rowOff>
    </xdr:from>
    <xdr:to>
      <xdr:col>2</xdr:col>
      <xdr:colOff>1236829</xdr:colOff>
      <xdr:row>43</xdr:row>
      <xdr:rowOff>191207</xdr:rowOff>
    </xdr:to>
    <xdr:sp macro="" textlink="">
      <xdr:nvSpPr>
        <xdr:cNvPr id="6" name="Rectangle 5" descr="Deze tekstbox is vóór de invulvelden geplaatst, om onbedoelde wijzigingen te voorkomen." title="Bescherming!">
          <a:hlinkClick xmlns:r="http://schemas.openxmlformats.org/officeDocument/2006/relationships" r:id="rId4" tooltip="Verwijzing naar de plaats om deze gegevens te veranderen."/>
        </xdr:cNvPr>
        <xdr:cNvSpPr/>
      </xdr:nvSpPr>
      <xdr:spPr>
        <a:xfrm>
          <a:off x="2121204" y="8269941"/>
          <a:ext cx="1233537" cy="168795"/>
        </a:xfrm>
        <a:prstGeom prst="rect">
          <a:avLst/>
        </a:prstGeom>
        <a:noFill/>
        <a:ln w="25400">
          <a:solidFill>
            <a:schemeClr val="bg1">
              <a:alpha val="2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23145</xdr:colOff>
      <xdr:row>11</xdr:row>
      <xdr:rowOff>9525</xdr:rowOff>
    </xdr:from>
    <xdr:to>
      <xdr:col>5</xdr:col>
      <xdr:colOff>1373531</xdr:colOff>
      <xdr:row>11</xdr:row>
      <xdr:rowOff>885825</xdr:rowOff>
    </xdr:to>
    <xdr:pic>
      <xdr:nvPicPr>
        <xdr:cNvPr id="2" name="Picture 1"/>
        <xdr:cNvPicPr>
          <a:picLocks noChangeAspect="1"/>
        </xdr:cNvPicPr>
      </xdr:nvPicPr>
      <xdr:blipFill>
        <a:blip xmlns:r="http://schemas.openxmlformats.org/officeDocument/2006/relationships" r:embed="rId1"/>
        <a:stretch>
          <a:fillRect/>
        </a:stretch>
      </xdr:blipFill>
      <xdr:spPr>
        <a:xfrm>
          <a:off x="6429961" y="4942472"/>
          <a:ext cx="1350386" cy="876300"/>
        </a:xfrm>
        <a:prstGeom prst="rect">
          <a:avLst/>
        </a:prstGeom>
      </xdr:spPr>
    </xdr:pic>
    <xdr:clientData/>
  </xdr:twoCellAnchor>
  <xdr:twoCellAnchor editAs="oneCell">
    <xdr:from>
      <xdr:col>5</xdr:col>
      <xdr:colOff>23145</xdr:colOff>
      <xdr:row>9</xdr:row>
      <xdr:rowOff>1899</xdr:rowOff>
    </xdr:from>
    <xdr:to>
      <xdr:col>5</xdr:col>
      <xdr:colOff>604396</xdr:colOff>
      <xdr:row>10</xdr:row>
      <xdr:rowOff>21714</xdr:rowOff>
    </xdr:to>
    <xdr:pic>
      <xdr:nvPicPr>
        <xdr:cNvPr id="4" name="Picture 3"/>
        <xdr:cNvPicPr>
          <a:picLocks noChangeAspect="1"/>
        </xdr:cNvPicPr>
      </xdr:nvPicPr>
      <xdr:blipFill>
        <a:blip xmlns:r="http://schemas.openxmlformats.org/officeDocument/2006/relationships" r:embed="rId2"/>
        <a:stretch>
          <a:fillRect/>
        </a:stretch>
      </xdr:blipFill>
      <xdr:spPr>
        <a:xfrm>
          <a:off x="6429961" y="3140136"/>
          <a:ext cx="581251" cy="917170"/>
        </a:xfrm>
        <a:prstGeom prst="rect">
          <a:avLst/>
        </a:prstGeom>
      </xdr:spPr>
    </xdr:pic>
    <xdr:clientData/>
  </xdr:twoCellAnchor>
  <xdr:twoCellAnchor editAs="oneCell">
    <xdr:from>
      <xdr:col>5</xdr:col>
      <xdr:colOff>23145</xdr:colOff>
      <xdr:row>10</xdr:row>
      <xdr:rowOff>3231</xdr:rowOff>
    </xdr:from>
    <xdr:to>
      <xdr:col>5</xdr:col>
      <xdr:colOff>1255381</xdr:colOff>
      <xdr:row>11</xdr:row>
      <xdr:rowOff>388</xdr:rowOff>
    </xdr:to>
    <xdr:pic>
      <xdr:nvPicPr>
        <xdr:cNvPr id="5" name="Picture 4"/>
        <xdr:cNvPicPr>
          <a:picLocks noChangeAspect="1"/>
        </xdr:cNvPicPr>
      </xdr:nvPicPr>
      <xdr:blipFill>
        <a:blip xmlns:r="http://schemas.openxmlformats.org/officeDocument/2006/relationships" r:embed="rId3"/>
        <a:stretch>
          <a:fillRect/>
        </a:stretch>
      </xdr:blipFill>
      <xdr:spPr>
        <a:xfrm rot="16200000">
          <a:off x="6598823" y="3869961"/>
          <a:ext cx="894512" cy="1232236"/>
        </a:xfrm>
        <a:prstGeom prst="rect">
          <a:avLst/>
        </a:prstGeom>
      </xdr:spPr>
    </xdr:pic>
    <xdr:clientData/>
  </xdr:twoCellAnchor>
  <xdr:twoCellAnchor editAs="oneCell">
    <xdr:from>
      <xdr:col>5</xdr:col>
      <xdr:colOff>23145</xdr:colOff>
      <xdr:row>8</xdr:row>
      <xdr:rowOff>4053</xdr:rowOff>
    </xdr:from>
    <xdr:to>
      <xdr:col>5</xdr:col>
      <xdr:colOff>830652</xdr:colOff>
      <xdr:row>9</xdr:row>
      <xdr:rowOff>0</xdr:rowOff>
    </xdr:to>
    <xdr:pic>
      <xdr:nvPicPr>
        <xdr:cNvPr id="6" name="Picture 5"/>
        <xdr:cNvPicPr>
          <a:picLocks noChangeAspect="1"/>
        </xdr:cNvPicPr>
      </xdr:nvPicPr>
      <xdr:blipFill>
        <a:blip xmlns:r="http://schemas.openxmlformats.org/officeDocument/2006/relationships" r:embed="rId4"/>
        <a:stretch>
          <a:fillRect/>
        </a:stretch>
      </xdr:blipFill>
      <xdr:spPr>
        <a:xfrm>
          <a:off x="6429961" y="2244935"/>
          <a:ext cx="807507" cy="893302"/>
        </a:xfrm>
        <a:prstGeom prst="rect">
          <a:avLst/>
        </a:prstGeom>
      </xdr:spPr>
    </xdr:pic>
    <xdr:clientData/>
  </xdr:twoCellAnchor>
  <xdr:twoCellAnchor editAs="oneCell">
    <xdr:from>
      <xdr:col>5</xdr:col>
      <xdr:colOff>23145</xdr:colOff>
      <xdr:row>12</xdr:row>
      <xdr:rowOff>10689</xdr:rowOff>
    </xdr:from>
    <xdr:to>
      <xdr:col>5</xdr:col>
      <xdr:colOff>1474886</xdr:colOff>
      <xdr:row>12</xdr:row>
      <xdr:rowOff>880240</xdr:rowOff>
    </xdr:to>
    <xdr:pic>
      <xdr:nvPicPr>
        <xdr:cNvPr id="7" name="Picture 6"/>
        <xdr:cNvPicPr>
          <a:picLocks noChangeAspect="1"/>
        </xdr:cNvPicPr>
      </xdr:nvPicPr>
      <xdr:blipFill>
        <a:blip xmlns:r="http://schemas.openxmlformats.org/officeDocument/2006/relationships" r:embed="rId5"/>
        <a:stretch>
          <a:fillRect/>
        </a:stretch>
      </xdr:blipFill>
      <xdr:spPr>
        <a:xfrm>
          <a:off x="6429961" y="5840992"/>
          <a:ext cx="1451741" cy="869551"/>
        </a:xfrm>
        <a:prstGeom prst="rect">
          <a:avLst/>
        </a:prstGeom>
      </xdr:spPr>
    </xdr:pic>
    <xdr:clientData/>
  </xdr:twoCellAnchor>
  <xdr:twoCellAnchor editAs="oneCell">
    <xdr:from>
      <xdr:col>5</xdr:col>
      <xdr:colOff>23145</xdr:colOff>
      <xdr:row>7</xdr:row>
      <xdr:rowOff>15449</xdr:rowOff>
    </xdr:from>
    <xdr:to>
      <xdr:col>5</xdr:col>
      <xdr:colOff>1649722</xdr:colOff>
      <xdr:row>7</xdr:row>
      <xdr:rowOff>884768</xdr:rowOff>
    </xdr:to>
    <xdr:pic>
      <xdr:nvPicPr>
        <xdr:cNvPr id="9" name="Picture 8"/>
        <xdr:cNvPicPr>
          <a:picLocks noChangeAspect="1"/>
        </xdr:cNvPicPr>
      </xdr:nvPicPr>
      <xdr:blipFill>
        <a:blip xmlns:r="http://schemas.openxmlformats.org/officeDocument/2006/relationships" r:embed="rId6"/>
        <a:stretch>
          <a:fillRect/>
        </a:stretch>
      </xdr:blipFill>
      <xdr:spPr>
        <a:xfrm>
          <a:off x="6429961" y="1358975"/>
          <a:ext cx="1626577" cy="869319"/>
        </a:xfrm>
        <a:prstGeom prst="rect">
          <a:avLst/>
        </a:prstGeom>
      </xdr:spPr>
    </xdr:pic>
    <xdr:clientData/>
  </xdr:twoCellAnchor>
  <xdr:twoCellAnchor editAs="oneCell">
    <xdr:from>
      <xdr:col>5</xdr:col>
      <xdr:colOff>1474753</xdr:colOff>
      <xdr:row>10</xdr:row>
      <xdr:rowOff>11205</xdr:rowOff>
    </xdr:from>
    <xdr:to>
      <xdr:col>5</xdr:col>
      <xdr:colOff>2136913</xdr:colOff>
      <xdr:row>11</xdr:row>
      <xdr:rowOff>5790</xdr:rowOff>
    </xdr:to>
    <xdr:pic>
      <xdr:nvPicPr>
        <xdr:cNvPr id="12" name="Picture 1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71606" y="4045323"/>
          <a:ext cx="665569" cy="891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23145</xdr:colOff>
      <xdr:row>13</xdr:row>
      <xdr:rowOff>13901</xdr:rowOff>
    </xdr:from>
    <xdr:to>
      <xdr:col>5</xdr:col>
      <xdr:colOff>1689715</xdr:colOff>
      <xdr:row>13</xdr:row>
      <xdr:rowOff>886556</xdr:rowOff>
    </xdr:to>
    <xdr:pic>
      <xdr:nvPicPr>
        <xdr:cNvPr id="3" name="Picture 2">
          <a:hlinkClick xmlns:r="http://schemas.openxmlformats.org/officeDocument/2006/relationships" r:id="rId8" tooltip="Leaking steam tracing - Youtube."/>
        </xdr:cNvPr>
        <xdr:cNvPicPr>
          <a:picLocks noChangeAspect="1"/>
        </xdr:cNvPicPr>
      </xdr:nvPicPr>
      <xdr:blipFill>
        <a:blip xmlns:r="http://schemas.openxmlformats.org/officeDocument/2006/relationships" r:embed="rId9"/>
        <a:stretch>
          <a:fillRect/>
        </a:stretch>
      </xdr:blipFill>
      <xdr:spPr>
        <a:xfrm>
          <a:off x="6429961" y="6741559"/>
          <a:ext cx="1666570" cy="8726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3496901</xdr:colOff>
      <xdr:row>4</xdr:row>
      <xdr:rowOff>81643</xdr:rowOff>
    </xdr:from>
    <xdr:to>
      <xdr:col>14</xdr:col>
      <xdr:colOff>3403705</xdr:colOff>
      <xdr:row>16</xdr:row>
      <xdr:rowOff>108857</xdr:rowOff>
    </xdr:to>
    <xdr:pic>
      <xdr:nvPicPr>
        <xdr:cNvPr id="5" name="Bild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20722" y="843643"/>
          <a:ext cx="3812055" cy="2558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361879</xdr:colOff>
      <xdr:row>14</xdr:row>
      <xdr:rowOff>150204</xdr:rowOff>
    </xdr:from>
    <xdr:to>
      <xdr:col>15</xdr:col>
      <xdr:colOff>2602931</xdr:colOff>
      <xdr:row>19</xdr:row>
      <xdr:rowOff>27861</xdr:rowOff>
    </xdr:to>
    <xdr:sp macro="" textlink="">
      <xdr:nvSpPr>
        <xdr:cNvPr id="2" name="TextBox 1"/>
        <xdr:cNvSpPr txBox="1"/>
      </xdr:nvSpPr>
      <xdr:spPr>
        <a:xfrm rot="562060">
          <a:off x="11572804" y="2826729"/>
          <a:ext cx="3355477" cy="839682"/>
        </a:xfrm>
        <a:prstGeom prst="rect">
          <a:avLst/>
        </a:prstGeom>
        <a:solidFill>
          <a:srgbClr val="FFFF00"/>
        </a:solidFill>
        <a:ln w="9525" cmpd="sng">
          <a:solidFill>
            <a:schemeClr val="lt1">
              <a:shade val="50000"/>
            </a:schemeClr>
          </a:solidFill>
        </a:ln>
        <a:effectLst>
          <a:outerShdw blurRad="76200" dist="508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De scores in dit gedeelte betreft het resultaat van </a:t>
          </a:r>
          <a:r>
            <a:rPr lang="nl-NL" sz="1100" baseline="0"/>
            <a:t>de werkgroep NDT per 14 Nov'19</a:t>
          </a:r>
        </a:p>
        <a:p>
          <a:r>
            <a:rPr lang="nl-NL" sz="1100" baseline="0"/>
            <a:t>Afwijkingen met argumenten tov het werkgroep resultaat zijn in rood weergegeven.</a:t>
          </a:r>
          <a:endParaRPr lang="nl-NL"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Projecten/WCM_CUI/Literatuur/350962295-Williams-Evans-CUI-Paper-NACE-Calgary-2010(!).pdf" TargetMode="External"/><Relationship Id="rId6" Type="http://schemas.openxmlformats.org/officeDocument/2006/relationships/comments" Target="../comments5.xml"/><Relationship Id="rId5" Type="http://schemas.openxmlformats.org/officeDocument/2006/relationships/vmlDrawing" Target="../drawings/vmlDrawing10.vml"/><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vmlDrawing" Target="../drawings/vmlDrawing13.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8" tint="-0.249977111117893"/>
    <pageSetUpPr fitToPage="1"/>
  </sheetPr>
  <dimension ref="A1:H44"/>
  <sheetViews>
    <sheetView showRowColHeaders="0" tabSelected="1" zoomScale="85" zoomScaleNormal="85" workbookViewId="0">
      <selection activeCell="G2" sqref="G2"/>
    </sheetView>
  </sheetViews>
  <sheetFormatPr defaultColWidth="0" defaultRowHeight="15" zeroHeight="1" x14ac:dyDescent="0.3"/>
  <cols>
    <col min="1" max="1" width="14" customWidth="1"/>
    <col min="2" max="2" width="9.140625" customWidth="1"/>
    <col min="3" max="3" width="36.28515625" customWidth="1"/>
    <col min="4" max="4" width="11.7109375" customWidth="1"/>
    <col min="5" max="5" width="15.7109375" customWidth="1"/>
    <col min="6" max="6" width="54.140625" customWidth="1"/>
    <col min="7" max="7" width="9.140625" customWidth="1"/>
    <col min="8" max="8" width="0.140625" customWidth="1"/>
    <col min="9" max="16384" width="9.140625" hidden="1"/>
  </cols>
  <sheetData>
    <row r="1" spans="1:8" ht="45.75" thickBot="1" x14ac:dyDescent="0.35">
      <c r="A1" s="88"/>
      <c r="B1" s="88"/>
      <c r="C1" s="88"/>
      <c r="D1" s="88"/>
      <c r="E1" s="88"/>
      <c r="F1" s="88"/>
      <c r="G1" s="88"/>
      <c r="H1" s="3" t="s">
        <v>0</v>
      </c>
    </row>
    <row r="2" spans="1:8" x14ac:dyDescent="0.3">
      <c r="A2" s="88"/>
      <c r="B2" s="80"/>
      <c r="C2" s="81"/>
      <c r="D2" s="81"/>
      <c r="E2" s="81"/>
      <c r="F2" s="81"/>
      <c r="G2" s="85"/>
      <c r="H2" s="1"/>
    </row>
    <row r="3" spans="1:8" ht="15.75" thickBot="1" x14ac:dyDescent="0.35">
      <c r="A3" s="88"/>
      <c r="B3" s="79"/>
      <c r="C3" s="82"/>
      <c r="D3" s="82"/>
      <c r="E3" s="82"/>
      <c r="F3" s="82"/>
      <c r="G3" s="90" t="s">
        <v>163</v>
      </c>
      <c r="H3" s="1"/>
    </row>
    <row r="4" spans="1:8" ht="27.75" x14ac:dyDescent="0.45">
      <c r="A4" s="88"/>
      <c r="B4" s="84"/>
      <c r="C4" s="89" t="s">
        <v>160</v>
      </c>
      <c r="D4" s="2"/>
      <c r="E4" s="2"/>
      <c r="F4" s="2"/>
      <c r="G4" s="84"/>
      <c r="H4" s="1"/>
    </row>
    <row r="5" spans="1:8" x14ac:dyDescent="0.3">
      <c r="A5" s="88"/>
      <c r="B5" s="84"/>
      <c r="C5" s="77" t="s">
        <v>161</v>
      </c>
      <c r="D5" s="78" t="s">
        <v>162</v>
      </c>
      <c r="E5" s="78"/>
      <c r="F5" s="2"/>
      <c r="G5" s="84"/>
      <c r="H5" s="1"/>
    </row>
    <row r="6" spans="1:8" x14ac:dyDescent="0.3">
      <c r="A6" s="88"/>
      <c r="B6" s="84"/>
      <c r="C6" s="78" t="s">
        <v>621</v>
      </c>
      <c r="D6" s="2"/>
      <c r="E6" s="2"/>
      <c r="F6" s="2"/>
      <c r="G6" s="84"/>
      <c r="H6" s="1"/>
    </row>
    <row r="7" spans="1:8" x14ac:dyDescent="0.3">
      <c r="A7" s="88"/>
      <c r="B7" s="84"/>
      <c r="C7" s="78" t="s">
        <v>622</v>
      </c>
      <c r="D7" s="2"/>
      <c r="E7" s="2"/>
      <c r="F7" s="2"/>
      <c r="G7" s="84"/>
      <c r="H7" s="1"/>
    </row>
    <row r="8" spans="1:8" x14ac:dyDescent="0.3">
      <c r="A8" s="88"/>
      <c r="B8" s="84"/>
      <c r="C8" s="78" t="s">
        <v>623</v>
      </c>
      <c r="D8" s="2"/>
      <c r="E8" s="2"/>
      <c r="F8" s="2"/>
      <c r="G8" s="84"/>
      <c r="H8" s="1"/>
    </row>
    <row r="9" spans="1:8" x14ac:dyDescent="0.3">
      <c r="A9" s="88"/>
      <c r="B9" s="84"/>
      <c r="C9" s="78" t="s">
        <v>624</v>
      </c>
      <c r="D9" s="2"/>
      <c r="E9" s="2"/>
      <c r="F9" s="2"/>
      <c r="G9" s="84"/>
      <c r="H9" s="1"/>
    </row>
    <row r="10" spans="1:8" x14ac:dyDescent="0.3">
      <c r="A10" s="88"/>
      <c r="B10" s="84"/>
      <c r="C10" s="78" t="s">
        <v>625</v>
      </c>
      <c r="D10" s="2"/>
      <c r="E10" s="2"/>
      <c r="F10" s="2"/>
      <c r="G10" s="84"/>
      <c r="H10" s="1"/>
    </row>
    <row r="11" spans="1:8" x14ac:dyDescent="0.3">
      <c r="A11" s="88"/>
      <c r="B11" s="84"/>
      <c r="C11" s="78"/>
      <c r="D11" s="2"/>
      <c r="E11" s="2"/>
      <c r="F11" s="2"/>
      <c r="G11" s="84"/>
      <c r="H11" s="1"/>
    </row>
    <row r="12" spans="1:8" x14ac:dyDescent="0.3">
      <c r="A12" s="88"/>
      <c r="B12" s="84"/>
      <c r="C12" s="78" t="s">
        <v>626</v>
      </c>
      <c r="D12" s="2"/>
      <c r="E12" s="2"/>
      <c r="F12" s="2"/>
      <c r="G12" s="84"/>
      <c r="H12" s="1"/>
    </row>
    <row r="13" spans="1:8" x14ac:dyDescent="0.3">
      <c r="A13" s="88"/>
      <c r="B13" s="84"/>
      <c r="C13" s="78" t="s">
        <v>627</v>
      </c>
      <c r="D13" s="2"/>
      <c r="E13" s="2"/>
      <c r="F13" s="2"/>
      <c r="G13" s="84"/>
      <c r="H13" s="1"/>
    </row>
    <row r="14" spans="1:8" x14ac:dyDescent="0.3">
      <c r="A14" s="88"/>
      <c r="B14" s="84"/>
      <c r="C14" s="78" t="s">
        <v>628</v>
      </c>
      <c r="D14" s="2"/>
      <c r="E14" s="2"/>
      <c r="F14" s="2"/>
      <c r="G14" s="84"/>
      <c r="H14" s="1"/>
    </row>
    <row r="15" spans="1:8" x14ac:dyDescent="0.3">
      <c r="A15" s="88"/>
      <c r="B15" s="84"/>
      <c r="C15" s="78"/>
      <c r="D15" s="2"/>
      <c r="E15" s="2"/>
      <c r="F15" s="2"/>
      <c r="G15" s="84"/>
      <c r="H15" s="1"/>
    </row>
    <row r="16" spans="1:8" ht="15.75" x14ac:dyDescent="0.35">
      <c r="A16" s="88"/>
      <c r="B16" s="84"/>
      <c r="C16" s="78" t="s">
        <v>273</v>
      </c>
      <c r="D16" s="2"/>
      <c r="E16" s="2"/>
      <c r="F16" s="135" t="s">
        <v>272</v>
      </c>
      <c r="G16" s="84"/>
      <c r="H16" s="1"/>
    </row>
    <row r="17" spans="1:8" x14ac:dyDescent="0.3">
      <c r="A17" s="88"/>
      <c r="B17" s="84"/>
      <c r="C17" s="91" t="s">
        <v>167</v>
      </c>
      <c r="D17" s="12" t="s">
        <v>164</v>
      </c>
      <c r="E17" s="130"/>
      <c r="F17" s="2"/>
      <c r="G17" s="84"/>
      <c r="H17" s="1"/>
    </row>
    <row r="18" spans="1:8" x14ac:dyDescent="0.3">
      <c r="A18" s="88"/>
      <c r="B18" s="84"/>
      <c r="C18" s="91" t="s">
        <v>601</v>
      </c>
      <c r="D18" s="374" t="s">
        <v>164</v>
      </c>
      <c r="E18" s="375" t="s">
        <v>600</v>
      </c>
      <c r="F18" s="2"/>
      <c r="G18" s="84"/>
      <c r="H18" s="1"/>
    </row>
    <row r="19" spans="1:8" x14ac:dyDescent="0.3">
      <c r="A19" s="88"/>
      <c r="B19" s="84"/>
      <c r="C19" s="91" t="s">
        <v>165</v>
      </c>
      <c r="D19" s="132" t="s">
        <v>166</v>
      </c>
      <c r="E19" s="130"/>
      <c r="F19" s="2"/>
      <c r="G19" s="84"/>
      <c r="H19" s="1"/>
    </row>
    <row r="20" spans="1:8" x14ac:dyDescent="0.3">
      <c r="A20" s="88"/>
      <c r="B20" s="84"/>
      <c r="C20" s="91"/>
      <c r="D20" s="130"/>
      <c r="E20" s="130"/>
      <c r="F20" s="2"/>
      <c r="G20" s="84"/>
      <c r="H20" s="1"/>
    </row>
    <row r="21" spans="1:8" x14ac:dyDescent="0.3">
      <c r="A21" s="88"/>
      <c r="B21" s="84"/>
      <c r="C21" s="158" t="s">
        <v>315</v>
      </c>
      <c r="D21" s="130"/>
      <c r="E21" s="130"/>
      <c r="F21" s="2"/>
      <c r="G21" s="84"/>
      <c r="H21" s="1"/>
    </row>
    <row r="22" spans="1:8" x14ac:dyDescent="0.3">
      <c r="A22" s="88"/>
      <c r="B22" s="84"/>
      <c r="C22" s="160" t="s">
        <v>317</v>
      </c>
      <c r="D22" s="159" t="s">
        <v>316</v>
      </c>
      <c r="E22" s="159"/>
      <c r="F22" s="2" t="s">
        <v>323</v>
      </c>
      <c r="G22" s="84"/>
      <c r="H22" s="1"/>
    </row>
    <row r="23" spans="1:8" x14ac:dyDescent="0.3">
      <c r="A23" s="88"/>
      <c r="B23" s="84"/>
      <c r="C23" s="160" t="s">
        <v>320</v>
      </c>
      <c r="D23" s="159" t="s">
        <v>318</v>
      </c>
      <c r="E23" s="159"/>
      <c r="F23" s="2" t="s">
        <v>324</v>
      </c>
      <c r="G23" s="84"/>
      <c r="H23" s="1"/>
    </row>
    <row r="24" spans="1:8" x14ac:dyDescent="0.3">
      <c r="A24" s="88"/>
      <c r="B24" s="84"/>
      <c r="C24" s="160"/>
      <c r="D24" s="159"/>
      <c r="E24" s="159"/>
      <c r="F24" s="2"/>
      <c r="G24" s="84"/>
      <c r="H24" s="1"/>
    </row>
    <row r="25" spans="1:8" x14ac:dyDescent="0.3">
      <c r="A25" s="88"/>
      <c r="B25" s="84"/>
      <c r="C25" s="78" t="s">
        <v>268</v>
      </c>
      <c r="D25" s="130"/>
      <c r="E25" s="130"/>
      <c r="F25" s="91" t="s">
        <v>322</v>
      </c>
      <c r="G25" s="84"/>
      <c r="H25" s="1"/>
    </row>
    <row r="26" spans="1:8" x14ac:dyDescent="0.3">
      <c r="A26" s="88"/>
      <c r="B26" s="84"/>
      <c r="C26" s="91"/>
      <c r="D26" s="130"/>
      <c r="E26" s="130"/>
      <c r="F26" s="2"/>
      <c r="G26" s="84"/>
      <c r="H26" s="1"/>
    </row>
    <row r="27" spans="1:8" ht="30" x14ac:dyDescent="0.3">
      <c r="A27" s="88"/>
      <c r="B27" s="84"/>
      <c r="C27" s="244" t="s">
        <v>449</v>
      </c>
      <c r="D27" s="130"/>
      <c r="E27" s="130"/>
      <c r="F27" s="2"/>
      <c r="G27" s="84"/>
      <c r="H27" s="1"/>
    </row>
    <row r="28" spans="1:8" ht="30" x14ac:dyDescent="0.3">
      <c r="A28" s="88"/>
      <c r="B28" s="84"/>
      <c r="C28" s="244" t="s">
        <v>449</v>
      </c>
      <c r="D28" s="130"/>
      <c r="E28" s="130"/>
      <c r="F28" s="2"/>
      <c r="G28" s="84"/>
      <c r="H28" s="1"/>
    </row>
    <row r="29" spans="1:8" ht="30" x14ac:dyDescent="0.3">
      <c r="A29" s="88"/>
      <c r="B29" s="84"/>
      <c r="C29" s="244" t="s">
        <v>449</v>
      </c>
      <c r="D29" s="130"/>
      <c r="E29" s="130"/>
      <c r="F29" s="2"/>
      <c r="G29" s="84"/>
      <c r="H29" s="1"/>
    </row>
    <row r="30" spans="1:8" ht="30" x14ac:dyDescent="0.3">
      <c r="A30" s="88"/>
      <c r="B30" s="84"/>
      <c r="C30" s="244" t="s">
        <v>449</v>
      </c>
      <c r="D30" s="130"/>
      <c r="E30" s="130"/>
      <c r="F30" s="2"/>
      <c r="G30" s="84"/>
      <c r="H30" s="1"/>
    </row>
    <row r="31" spans="1:8" ht="30" x14ac:dyDescent="0.3">
      <c r="A31" s="88"/>
      <c r="B31" s="84"/>
      <c r="C31" s="244" t="s">
        <v>449</v>
      </c>
      <c r="D31" s="130"/>
      <c r="E31" s="130"/>
      <c r="F31" s="2"/>
      <c r="G31" s="84"/>
      <c r="H31" s="1"/>
    </row>
    <row r="32" spans="1:8" ht="30" x14ac:dyDescent="0.3">
      <c r="A32" s="88"/>
      <c r="B32" s="84"/>
      <c r="C32" s="244" t="s">
        <v>449</v>
      </c>
      <c r="D32" s="130"/>
      <c r="E32" s="130"/>
      <c r="F32" s="2"/>
      <c r="G32" s="84"/>
      <c r="H32" s="1"/>
    </row>
    <row r="33" spans="1:8" x14ac:dyDescent="0.3">
      <c r="A33" s="88"/>
      <c r="B33" s="84"/>
      <c r="C33" s="91"/>
      <c r="D33" s="130"/>
      <c r="E33" s="130"/>
      <c r="F33" s="2"/>
      <c r="G33" s="84"/>
      <c r="H33" s="1"/>
    </row>
    <row r="34" spans="1:8" x14ac:dyDescent="0.3">
      <c r="A34" s="88"/>
      <c r="B34" s="84"/>
      <c r="C34" s="91"/>
      <c r="D34" s="130"/>
      <c r="E34" s="130"/>
      <c r="F34" s="2"/>
      <c r="G34" s="84"/>
      <c r="H34" s="1"/>
    </row>
    <row r="35" spans="1:8" x14ac:dyDescent="0.3">
      <c r="A35" s="88"/>
      <c r="B35" s="84"/>
      <c r="C35" s="91"/>
      <c r="D35" s="130"/>
      <c r="E35" s="130"/>
      <c r="F35" s="134" t="s">
        <v>269</v>
      </c>
      <c r="G35" s="84"/>
      <c r="H35" s="1"/>
    </row>
    <row r="36" spans="1:8" x14ac:dyDescent="0.3">
      <c r="A36" s="88"/>
      <c r="B36" s="84"/>
      <c r="C36" s="91"/>
      <c r="D36" s="130"/>
      <c r="E36" s="130"/>
      <c r="F36" s="133" t="s">
        <v>319</v>
      </c>
      <c r="G36" s="84"/>
      <c r="H36" s="1"/>
    </row>
    <row r="37" spans="1:8" x14ac:dyDescent="0.3">
      <c r="A37" s="88"/>
      <c r="B37" s="84"/>
      <c r="C37" s="91"/>
      <c r="D37" s="130"/>
      <c r="E37" s="130"/>
      <c r="F37" s="133" t="s">
        <v>270</v>
      </c>
      <c r="G37" s="84"/>
      <c r="H37" s="1"/>
    </row>
    <row r="38" spans="1:8" x14ac:dyDescent="0.3">
      <c r="A38" s="88"/>
      <c r="B38" s="84"/>
      <c r="C38" s="91"/>
      <c r="D38" s="130"/>
      <c r="E38" s="130"/>
      <c r="F38" s="133" t="s">
        <v>271</v>
      </c>
      <c r="G38" s="84"/>
      <c r="H38" s="1"/>
    </row>
    <row r="39" spans="1:8" x14ac:dyDescent="0.3">
      <c r="A39" s="88"/>
      <c r="B39" s="84"/>
      <c r="C39" s="91"/>
      <c r="D39" s="130"/>
      <c r="E39" s="130"/>
      <c r="F39" s="133" t="s">
        <v>274</v>
      </c>
      <c r="G39" s="84"/>
      <c r="H39" s="1"/>
    </row>
    <row r="40" spans="1:8" x14ac:dyDescent="0.3">
      <c r="A40" s="88"/>
      <c r="B40" s="84"/>
      <c r="C40" s="91"/>
      <c r="D40" s="130"/>
      <c r="E40" s="130"/>
      <c r="F40" s="133"/>
      <c r="G40" s="84"/>
      <c r="H40" s="1"/>
    </row>
    <row r="41" spans="1:8" x14ac:dyDescent="0.3">
      <c r="A41" s="88"/>
      <c r="B41" s="84"/>
      <c r="C41" s="91"/>
      <c r="D41" s="130"/>
      <c r="E41" s="130"/>
      <c r="F41" s="133"/>
      <c r="G41" s="84"/>
      <c r="H41" s="1"/>
    </row>
    <row r="42" spans="1:8" ht="15.75" thickBot="1" x14ac:dyDescent="0.35">
      <c r="A42" s="88"/>
      <c r="B42" s="84"/>
      <c r="C42" s="161" t="s">
        <v>321</v>
      </c>
      <c r="D42" s="131"/>
      <c r="E42" s="131"/>
      <c r="F42" s="2"/>
      <c r="G42" s="84"/>
      <c r="H42" s="1"/>
    </row>
    <row r="43" spans="1:8" x14ac:dyDescent="0.3">
      <c r="A43" s="88"/>
      <c r="B43" s="79"/>
      <c r="C43" s="81"/>
      <c r="D43" s="81"/>
      <c r="E43" s="81"/>
      <c r="F43" s="81"/>
      <c r="G43" s="86"/>
      <c r="H43" s="1"/>
    </row>
    <row r="44" spans="1:8" ht="15.75" thickBot="1" x14ac:dyDescent="0.35">
      <c r="A44" s="88"/>
      <c r="B44" s="83"/>
      <c r="C44" s="82"/>
      <c r="D44" s="82"/>
      <c r="E44" s="82"/>
      <c r="F44" s="82"/>
      <c r="G44" s="87"/>
      <c r="H44" s="1"/>
    </row>
  </sheetData>
  <dataValidations count="1">
    <dataValidation allowBlank="1" showInputMessage="1" showErrorMessage="1" promptTitle="Nota bene:" prompt="Wanneer een veld in een sheet zó is weergegeven, heeft het al dan niet invullen van de informatie géén invloed op de uitkomst._x000a_Het veld heeft daarmee, als gevolg van andere ingevulde gegevens, in dit specifieke geval GEEN effect op de risico beoordeling." sqref="D18"/>
  </dataValidations>
  <pageMargins left="0.70866141732283472" right="0.70866141732283472" top="1.3385826771653544" bottom="0.74803149606299213" header="0.31496062992125984" footer="0.31496062992125984"/>
  <pageSetup paperSize="9" scale="74" orientation="landscape" r:id="rId1"/>
  <headerFooter>
    <oddHeader>&amp;L&amp;G&amp;RWorld Class Maintenance project: Risk Based CUI Management.</oddHeader>
    <oddFooter>&amp;L&amp;9File / Tab: &amp;F / &amp;A&amp;C&amp;9Printdatum: &amp;D&amp;R&amp;9Bladzijde &amp;P van &amp;N.</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J69"/>
  <sheetViews>
    <sheetView topLeftCell="A31" zoomScale="85" zoomScaleNormal="85" workbookViewId="0">
      <selection activeCell="G38" sqref="G38"/>
    </sheetView>
  </sheetViews>
  <sheetFormatPr defaultColWidth="0" defaultRowHeight="15" zeroHeight="1" x14ac:dyDescent="0.3"/>
  <cols>
    <col min="1" max="1" width="9.42578125" customWidth="1"/>
    <col min="2" max="2" width="25.140625" customWidth="1"/>
    <col min="3" max="3" width="19.42578125" customWidth="1"/>
    <col min="4" max="4" width="25.42578125" customWidth="1"/>
    <col min="5" max="10" width="14.140625" customWidth="1"/>
    <col min="11" max="16384" width="9.140625" hidden="1"/>
  </cols>
  <sheetData>
    <row r="1" spans="1:10" ht="15.75" thickBot="1" x14ac:dyDescent="0.35">
      <c r="A1" s="10" t="s">
        <v>243</v>
      </c>
      <c r="B1" s="10"/>
      <c r="C1" s="10"/>
      <c r="D1" s="10"/>
      <c r="E1" s="10"/>
      <c r="F1" s="10"/>
      <c r="G1" s="10"/>
      <c r="H1" s="10"/>
      <c r="I1" s="15"/>
    </row>
    <row r="2" spans="1:10" ht="15.75" thickBot="1" x14ac:dyDescent="0.35">
      <c r="C2" s="6" t="s">
        <v>15</v>
      </c>
      <c r="D2" s="6" t="s">
        <v>17</v>
      </c>
      <c r="E2" s="6" t="s">
        <v>16</v>
      </c>
      <c r="F2" s="19" t="s">
        <v>16</v>
      </c>
      <c r="G2" s="18" t="s">
        <v>16</v>
      </c>
      <c r="H2" s="22" t="s">
        <v>16</v>
      </c>
      <c r="I2" s="21" t="s">
        <v>16</v>
      </c>
      <c r="J2" s="20" t="s">
        <v>16</v>
      </c>
    </row>
    <row r="3" spans="1:10" x14ac:dyDescent="0.3">
      <c r="B3" s="5" t="s">
        <v>1</v>
      </c>
      <c r="C3" s="12"/>
      <c r="D3" s="4"/>
      <c r="E3" s="7"/>
      <c r="F3" s="7"/>
      <c r="G3" s="7"/>
      <c r="H3" s="7"/>
      <c r="I3" s="7"/>
      <c r="J3" s="7"/>
    </row>
    <row r="4" spans="1:10" x14ac:dyDescent="0.3">
      <c r="B4" s="5" t="s">
        <v>2</v>
      </c>
      <c r="C4" s="12"/>
      <c r="D4" s="4"/>
      <c r="E4" s="7"/>
      <c r="F4" s="7"/>
      <c r="G4" s="7"/>
      <c r="H4" s="7"/>
      <c r="I4" s="7"/>
      <c r="J4" s="7"/>
    </row>
    <row r="5" spans="1:10" x14ac:dyDescent="0.3">
      <c r="B5" s="5" t="s">
        <v>3</v>
      </c>
      <c r="C5" s="12"/>
      <c r="D5" s="4"/>
      <c r="E5" s="7"/>
      <c r="F5" s="7"/>
      <c r="G5" s="7"/>
      <c r="H5" s="7"/>
      <c r="I5" s="7"/>
      <c r="J5" s="7"/>
    </row>
    <row r="6" spans="1:10" x14ac:dyDescent="0.3">
      <c r="B6" s="5" t="s">
        <v>4</v>
      </c>
      <c r="C6" s="12" t="s">
        <v>587</v>
      </c>
      <c r="D6" s="4" t="s">
        <v>489</v>
      </c>
      <c r="E6" s="7"/>
      <c r="F6" s="7"/>
      <c r="G6" s="7"/>
      <c r="H6" s="7"/>
      <c r="I6" s="7"/>
      <c r="J6" s="7"/>
    </row>
    <row r="7" spans="1:10" x14ac:dyDescent="0.3">
      <c r="B7" s="5" t="s">
        <v>5</v>
      </c>
      <c r="C7" s="12" t="s">
        <v>175</v>
      </c>
      <c r="D7" s="4"/>
      <c r="E7" s="7"/>
      <c r="F7" s="7"/>
      <c r="G7" s="7"/>
      <c r="H7" s="7"/>
      <c r="I7" s="7"/>
      <c r="J7" s="7"/>
    </row>
    <row r="8" spans="1:10" x14ac:dyDescent="0.3">
      <c r="B8" s="5" t="s">
        <v>154</v>
      </c>
      <c r="C8" s="330">
        <v>2</v>
      </c>
      <c r="D8" s="4"/>
      <c r="E8" s="7"/>
      <c r="F8" s="7"/>
      <c r="G8" s="7" t="s">
        <v>250</v>
      </c>
      <c r="H8" s="7"/>
      <c r="I8" s="7"/>
      <c r="J8" s="7"/>
    </row>
    <row r="9" spans="1:10" x14ac:dyDescent="0.3">
      <c r="A9" s="434" t="s">
        <v>150</v>
      </c>
      <c r="B9" s="332" t="s">
        <v>261</v>
      </c>
      <c r="C9" s="331" t="s">
        <v>520</v>
      </c>
      <c r="D9" s="335"/>
      <c r="E9" s="336"/>
      <c r="F9" s="336"/>
      <c r="G9" s="336"/>
      <c r="H9" s="336"/>
      <c r="I9" s="336"/>
      <c r="J9" s="336"/>
    </row>
    <row r="10" spans="1:10" x14ac:dyDescent="0.3">
      <c r="A10" s="435"/>
      <c r="B10" s="333" t="s">
        <v>543</v>
      </c>
      <c r="C10" s="315" t="s">
        <v>523</v>
      </c>
      <c r="D10" s="4"/>
      <c r="E10" s="296"/>
      <c r="F10" s="296"/>
      <c r="G10" s="296"/>
      <c r="H10" s="296"/>
      <c r="I10" s="296"/>
      <c r="J10" s="296"/>
    </row>
    <row r="11" spans="1:10" x14ac:dyDescent="0.3">
      <c r="A11" s="436"/>
      <c r="B11" s="334" t="s">
        <v>544</v>
      </c>
      <c r="C11" s="331" t="s">
        <v>526</v>
      </c>
      <c r="D11" s="4" t="s">
        <v>545</v>
      </c>
      <c r="E11" s="296"/>
      <c r="F11" s="296"/>
      <c r="G11" s="296"/>
      <c r="H11" s="296"/>
      <c r="I11" s="296"/>
      <c r="J11" s="296"/>
    </row>
    <row r="12" spans="1:10" x14ac:dyDescent="0.3">
      <c r="B12" s="13" t="s">
        <v>10</v>
      </c>
      <c r="C12" s="14"/>
      <c r="D12" s="14"/>
      <c r="E12" s="7"/>
      <c r="F12" s="7"/>
      <c r="G12" s="7"/>
      <c r="H12" s="7"/>
      <c r="I12" s="7"/>
      <c r="J12" s="7"/>
    </row>
    <row r="13" spans="1:10" x14ac:dyDescent="0.3">
      <c r="A13" s="439" t="s">
        <v>565</v>
      </c>
      <c r="B13" s="358" t="s">
        <v>9</v>
      </c>
      <c r="C13" s="287">
        <v>50</v>
      </c>
      <c r="D13" s="4" t="s">
        <v>251</v>
      </c>
      <c r="E13" s="7"/>
      <c r="F13" s="7"/>
      <c r="G13" s="7"/>
      <c r="H13" s="7"/>
      <c r="I13" s="7"/>
      <c r="J13" s="7"/>
    </row>
    <row r="14" spans="1:10" x14ac:dyDescent="0.3">
      <c r="A14" s="435"/>
      <c r="B14" s="359" t="s">
        <v>6</v>
      </c>
      <c r="C14" s="12" t="s">
        <v>19</v>
      </c>
      <c r="D14" s="4"/>
      <c r="E14" s="7" t="s">
        <v>18</v>
      </c>
      <c r="F14" s="7" t="s">
        <v>19</v>
      </c>
      <c r="G14" s="7"/>
      <c r="H14" s="7"/>
      <c r="I14" s="7"/>
      <c r="J14" s="7"/>
    </row>
    <row r="15" spans="1:10" x14ac:dyDescent="0.3">
      <c r="A15" s="435"/>
      <c r="B15" s="360" t="s">
        <v>402</v>
      </c>
      <c r="C15" s="12" t="s">
        <v>403</v>
      </c>
      <c r="D15" s="4"/>
      <c r="E15" s="291"/>
      <c r="F15" s="291"/>
      <c r="G15" s="291"/>
      <c r="H15" s="291"/>
      <c r="I15" s="291"/>
      <c r="J15" s="291"/>
    </row>
    <row r="16" spans="1:10" x14ac:dyDescent="0.3">
      <c r="A16" s="435"/>
      <c r="B16" s="359" t="s">
        <v>11</v>
      </c>
      <c r="C16" s="12" t="s">
        <v>12</v>
      </c>
      <c r="D16" s="4"/>
      <c r="E16" s="7" t="s">
        <v>12</v>
      </c>
      <c r="F16" s="7" t="s">
        <v>13</v>
      </c>
      <c r="G16" s="7" t="s">
        <v>14</v>
      </c>
      <c r="H16" s="7"/>
      <c r="I16" s="7"/>
      <c r="J16" s="7"/>
    </row>
    <row r="17" spans="1:10" x14ac:dyDescent="0.3">
      <c r="A17" s="435"/>
      <c r="B17" s="359" t="s">
        <v>486</v>
      </c>
      <c r="C17" s="286">
        <f>ProcessTemp</f>
        <v>50</v>
      </c>
      <c r="D17" s="4" t="s">
        <v>580</v>
      </c>
      <c r="E17" s="291"/>
      <c r="F17" s="291"/>
      <c r="G17" s="291"/>
      <c r="H17" s="291"/>
      <c r="I17" s="291"/>
      <c r="J17" s="291"/>
    </row>
    <row r="18" spans="1:10" x14ac:dyDescent="0.3">
      <c r="A18" s="435"/>
      <c r="B18" s="360" t="s">
        <v>400</v>
      </c>
      <c r="C18" s="170">
        <v>100</v>
      </c>
      <c r="D18" s="4"/>
      <c r="E18" s="291"/>
      <c r="F18" s="291"/>
      <c r="G18" s="291"/>
      <c r="H18" s="291"/>
      <c r="I18" s="291"/>
      <c r="J18" s="291"/>
    </row>
    <row r="19" spans="1:10" x14ac:dyDescent="0.3">
      <c r="A19" s="435"/>
      <c r="B19" s="360" t="s">
        <v>401</v>
      </c>
      <c r="C19" s="170" t="s">
        <v>638</v>
      </c>
      <c r="D19" s="4"/>
      <c r="E19" s="291"/>
      <c r="F19" s="291"/>
      <c r="G19" s="291"/>
      <c r="H19" s="291"/>
      <c r="I19" s="291"/>
      <c r="J19" s="291"/>
    </row>
    <row r="20" spans="1:10" x14ac:dyDescent="0.3">
      <c r="A20" s="436"/>
      <c r="B20" s="357" t="s">
        <v>8</v>
      </c>
      <c r="C20" s="65">
        <v>32304</v>
      </c>
      <c r="D20" s="4" t="s">
        <v>487</v>
      </c>
      <c r="E20" s="7"/>
      <c r="F20" s="7"/>
      <c r="G20" s="7"/>
      <c r="H20" s="7"/>
      <c r="I20" s="7"/>
      <c r="J20" s="7"/>
    </row>
    <row r="21" spans="1:10" x14ac:dyDescent="0.3">
      <c r="C21" s="4"/>
      <c r="D21" s="4"/>
      <c r="E21" s="7"/>
      <c r="F21" s="7"/>
      <c r="G21" s="7"/>
      <c r="H21" s="7"/>
      <c r="I21" s="7"/>
      <c r="J21" s="7"/>
    </row>
    <row r="22" spans="1:10" ht="15.75" thickBot="1" x14ac:dyDescent="0.35">
      <c r="A22" s="10" t="s">
        <v>542</v>
      </c>
      <c r="B22" s="10"/>
      <c r="C22" s="10"/>
      <c r="D22" s="10"/>
      <c r="E22" s="10"/>
      <c r="F22" s="10"/>
      <c r="G22" s="10"/>
      <c r="H22" s="10"/>
      <c r="I22" s="15"/>
      <c r="J22" s="296"/>
    </row>
    <row r="23" spans="1:10" x14ac:dyDescent="0.3">
      <c r="A23" s="437" t="s">
        <v>150</v>
      </c>
      <c r="B23" s="4" t="s">
        <v>546</v>
      </c>
      <c r="C23" s="12" t="s">
        <v>526</v>
      </c>
      <c r="D23" s="58"/>
      <c r="E23" s="58"/>
      <c r="F23" s="58"/>
      <c r="G23" s="58"/>
      <c r="H23" s="58"/>
      <c r="I23" s="58"/>
      <c r="J23" s="296"/>
    </row>
    <row r="24" spans="1:10" x14ac:dyDescent="0.3">
      <c r="A24" s="438"/>
      <c r="B24" s="4" t="s">
        <v>6</v>
      </c>
      <c r="C24" s="12" t="s">
        <v>501</v>
      </c>
      <c r="D24" s="58"/>
      <c r="E24" s="58"/>
      <c r="F24" s="58"/>
      <c r="G24" s="58"/>
      <c r="H24" s="58"/>
      <c r="I24" s="58"/>
      <c r="J24" s="296"/>
    </row>
    <row r="25" spans="1:10" x14ac:dyDescent="0.3">
      <c r="A25" s="327"/>
      <c r="B25" s="337" t="s">
        <v>547</v>
      </c>
      <c r="C25" s="338">
        <f>IF(RIGHT(C7,3)="TSA",TSA_LTE,1)*CoatRefLT*
(1-(IFERROR(INDEX(CoatProdScor,MATCH(C9,CoatProd,0)),'Coating bescherming'!J11)+
IFERROR(INDEX(CoatOntwScor,MATCH(C11,CoatOntw,0)),'Coating bescherming'!J13)+
IFERROR(INDEX(CoatProcScor,MATCH(C23,CoatProc,0)),'Coating bescherming'!K14)+
IFERROR(CHOOSE(MATCH(C24,CoatIsol,0),'Coating bescherming'!H15,IFERROR(INDEX(CoatGenScore,MATCH(C10,CoatGen,0)),'Coating bescherming'!I12),'Coating bescherming'!J15,'Coating bescherming'!K15),'Coating bescherming'!K15))/4)</f>
        <v>16.5</v>
      </c>
      <c r="D25" s="328" t="s">
        <v>548</v>
      </c>
      <c r="E25" s="329"/>
      <c r="F25" s="329"/>
      <c r="G25" s="329"/>
      <c r="H25" s="329"/>
      <c r="I25" s="329"/>
      <c r="J25" s="296"/>
    </row>
    <row r="26" spans="1:10" ht="15.75" thickBot="1" x14ac:dyDescent="0.35">
      <c r="A26" s="10" t="s">
        <v>39</v>
      </c>
      <c r="B26" s="10"/>
      <c r="C26" s="10"/>
      <c r="D26" s="10"/>
      <c r="E26" s="10"/>
      <c r="F26" s="10"/>
      <c r="G26" s="10"/>
      <c r="H26" s="10"/>
      <c r="I26" s="15"/>
      <c r="J26" s="7"/>
    </row>
    <row r="27" spans="1:10" x14ac:dyDescent="0.3">
      <c r="C27" s="4"/>
      <c r="D27" s="4"/>
      <c r="E27" s="7"/>
      <c r="F27" s="7"/>
      <c r="G27" s="7"/>
      <c r="H27" s="7"/>
      <c r="I27" s="7"/>
      <c r="J27" s="7"/>
    </row>
    <row r="28" spans="1:10" x14ac:dyDescent="0.3">
      <c r="B28" s="5" t="s">
        <v>488</v>
      </c>
      <c r="C28" s="117" t="s">
        <v>22</v>
      </c>
      <c r="D28" s="4" t="s">
        <v>581</v>
      </c>
      <c r="E28" s="7" t="s">
        <v>20</v>
      </c>
      <c r="F28" s="7" t="s">
        <v>21</v>
      </c>
      <c r="G28" s="7" t="s">
        <v>22</v>
      </c>
      <c r="H28" s="7" t="s">
        <v>23</v>
      </c>
      <c r="I28" s="7" t="s">
        <v>24</v>
      </c>
      <c r="J28" s="7" t="s">
        <v>25</v>
      </c>
    </row>
    <row r="29" spans="1:10" x14ac:dyDescent="0.3">
      <c r="B29" s="11" t="s">
        <v>40</v>
      </c>
      <c r="C29" s="115" t="str">
        <f>IFERROR(LEFT(C28,1),"?")</f>
        <v>3</v>
      </c>
      <c r="D29" s="4" t="s">
        <v>41</v>
      </c>
      <c r="E29" s="7"/>
      <c r="F29" s="7"/>
      <c r="G29" s="7"/>
      <c r="H29" s="7"/>
      <c r="I29" s="7"/>
      <c r="J29" s="7"/>
    </row>
    <row r="30" spans="1:10" x14ac:dyDescent="0.3">
      <c r="B30" s="11" t="s">
        <v>42</v>
      </c>
      <c r="C30" s="16" t="s">
        <v>46</v>
      </c>
      <c r="D30" s="4" t="s">
        <v>44</v>
      </c>
      <c r="E30" s="7" t="s">
        <v>45</v>
      </c>
      <c r="F30" s="7" t="s">
        <v>46</v>
      </c>
      <c r="G30" s="7" t="s">
        <v>47</v>
      </c>
      <c r="H30" s="7" t="s">
        <v>48</v>
      </c>
      <c r="I30" s="7" t="s">
        <v>43</v>
      </c>
      <c r="J30" s="7"/>
    </row>
    <row r="31" spans="1:10" x14ac:dyDescent="0.3">
      <c r="B31" s="11" t="s">
        <v>49</v>
      </c>
      <c r="C31" s="17" t="str">
        <f>CHOOSE(1+(1-IFERROR(MATCH("*"&amp;"droog"&amp;"*",C30,0),0))*MAX(C29-2,0),"Geen","Gering","Matig","Zwaar","Zwaar")</f>
        <v>Gering</v>
      </c>
      <c r="E31" s="7"/>
      <c r="F31" s="7"/>
      <c r="G31" s="7"/>
      <c r="H31" s="7"/>
      <c r="I31" s="7"/>
      <c r="J31" s="7"/>
    </row>
    <row r="32" spans="1:10" x14ac:dyDescent="0.3">
      <c r="E32" s="7"/>
      <c r="F32" s="7"/>
      <c r="G32" s="7"/>
      <c r="H32" s="7"/>
      <c r="I32" s="7"/>
      <c r="J32" s="7"/>
    </row>
    <row r="33" spans="1:10" ht="15.75" thickBot="1" x14ac:dyDescent="0.35">
      <c r="A33" s="10" t="s">
        <v>244</v>
      </c>
      <c r="B33" s="10"/>
      <c r="C33" s="10"/>
      <c r="D33" s="10"/>
      <c r="E33" s="10"/>
      <c r="F33" s="10"/>
      <c r="G33" s="10"/>
      <c r="H33" s="10"/>
      <c r="I33" s="15"/>
      <c r="J33" s="7"/>
    </row>
    <row r="34" spans="1:10" x14ac:dyDescent="0.3">
      <c r="B34" s="63" t="s">
        <v>135</v>
      </c>
      <c r="C34" s="341">
        <f ca="1">Faalkans!C12</f>
        <v>6</v>
      </c>
      <c r="D34" s="4" t="s">
        <v>176</v>
      </c>
    </row>
    <row r="35" spans="1:10" x14ac:dyDescent="0.3">
      <c r="A35" s="427" t="s">
        <v>134</v>
      </c>
      <c r="B35" s="60" t="s">
        <v>79</v>
      </c>
      <c r="C35" s="384"/>
      <c r="D35" s="4" t="s">
        <v>177</v>
      </c>
    </row>
    <row r="36" spans="1:10" x14ac:dyDescent="0.3">
      <c r="A36" s="428"/>
      <c r="B36" s="61" t="s">
        <v>80</v>
      </c>
      <c r="C36" s="385" t="s">
        <v>74</v>
      </c>
      <c r="D36" s="4"/>
    </row>
    <row r="37" spans="1:10" x14ac:dyDescent="0.3">
      <c r="A37" s="428"/>
      <c r="B37" s="61" t="s">
        <v>91</v>
      </c>
      <c r="C37" s="385" t="s">
        <v>74</v>
      </c>
      <c r="D37" s="4"/>
    </row>
    <row r="38" spans="1:10" x14ac:dyDescent="0.3">
      <c r="A38" s="428"/>
      <c r="B38" s="61" t="s">
        <v>97</v>
      </c>
      <c r="C38" s="385" t="s">
        <v>74</v>
      </c>
      <c r="D38" s="4"/>
    </row>
    <row r="39" spans="1:10" x14ac:dyDescent="0.3">
      <c r="A39" s="428"/>
      <c r="B39" s="61" t="s">
        <v>98</v>
      </c>
      <c r="C39" s="385"/>
      <c r="D39" s="4"/>
    </row>
    <row r="40" spans="1:10" x14ac:dyDescent="0.3">
      <c r="A40" s="428"/>
      <c r="B40" s="61" t="s">
        <v>104</v>
      </c>
      <c r="C40" s="385"/>
      <c r="D40" s="4"/>
    </row>
    <row r="41" spans="1:10" x14ac:dyDescent="0.3">
      <c r="A41" s="429"/>
      <c r="B41" s="62" t="s">
        <v>109</v>
      </c>
      <c r="C41" s="386" t="s">
        <v>74</v>
      </c>
      <c r="D41" s="292">
        <f>IFERROR(IF(SEARCH("E",CONCATENATE(C35,C36,C37,C38,C39,C40,C41))&gt;0,5,0),IFERROR(IF(SEARCH("D",CONCATENATE(C35,C36,C37,C38,C39,C40,C41))&gt;0,4,0),IFERROR(IF(SEARCH("C",CONCATENATE(C35,C36,C37,C38,C39,C40,C41))&gt;0,3,0),IFERROR(IF(SEARCH("B",CONCATENATE(C35,C36,C37,C38,C39,C40,C41))&gt;0,2,0),IFERROR(IF(SEARCH("A",CONCATENATE(C35,C36,C37,C38,C39,C40,C41))&gt;0,1,0),"?")))))</f>
        <v>1</v>
      </c>
      <c r="E41" s="4" t="s">
        <v>137</v>
      </c>
    </row>
    <row r="42" spans="1:10" x14ac:dyDescent="0.3">
      <c r="B42" s="64" t="s">
        <v>136</v>
      </c>
      <c r="C42" s="99">
        <f ca="1">IFERROR(INDEX(Risk_MOTBF,6-MIN(5,Installatie!C34),Installatie!D41),"?")</f>
        <v>10</v>
      </c>
      <c r="D42" s="4" t="s">
        <v>564</v>
      </c>
    </row>
    <row r="43" spans="1:10" x14ac:dyDescent="0.3">
      <c r="B43" s="25" t="str">
        <f ca="1">IF(C34=6,"SAO","")</f>
        <v>SAO</v>
      </c>
      <c r="C43" s="116" t="str">
        <f ca="1">CHOOSE(IF(C42&gt;'NEN-EN 16991'!$AF$2,5,IF(C42&gt;'NEN-EN 16991'!$AE$2,4,IF(C42&gt;'NEN-EN 16991'!$AD$2,3,IF(C42&gt;'NEN-EN 16991'!$AC$2,2,1)))),"Very low","Low","Medium","High","Very high")</f>
        <v>Medium</v>
      </c>
      <c r="D43" s="4" t="s">
        <v>183</v>
      </c>
    </row>
    <row r="44" spans="1:10" x14ac:dyDescent="0.3">
      <c r="D44" s="4" t="s">
        <v>248</v>
      </c>
    </row>
    <row r="45" spans="1:10" ht="15.75" thickBot="1" x14ac:dyDescent="0.35">
      <c r="A45" s="10" t="s">
        <v>245</v>
      </c>
      <c r="B45" s="10"/>
      <c r="C45" s="10"/>
      <c r="D45" s="10"/>
      <c r="E45" s="10"/>
      <c r="F45" s="10"/>
      <c r="G45" s="243" t="s">
        <v>445</v>
      </c>
      <c r="H45" s="10"/>
      <c r="I45" s="15"/>
    </row>
    <row r="46" spans="1:10" x14ac:dyDescent="0.3">
      <c r="B46" s="11" t="s">
        <v>184</v>
      </c>
      <c r="C46" s="67" t="s">
        <v>591</v>
      </c>
      <c r="D46" s="4" t="s">
        <v>490</v>
      </c>
    </row>
    <row r="47" spans="1:10" x14ac:dyDescent="0.3">
      <c r="B47" s="11" t="s">
        <v>631</v>
      </c>
      <c r="C47" s="100">
        <f>IFERROR(INDEX(NDTEff,FIND(INDEX(NDTEffRatings,MATCH(C6,Typicals,0),MATCH(C46,NDT_Techn,0)),"ABCDE"),3),"?")</f>
        <v>1</v>
      </c>
      <c r="D47" s="4" t="s">
        <v>630</v>
      </c>
    </row>
    <row r="48" spans="1:10" x14ac:dyDescent="0.3">
      <c r="B48" s="11" t="s">
        <v>179</v>
      </c>
      <c r="C48" s="100">
        <f>IFERROR(INDEX(NDTEff,FIND(INDEX(NDTEffRatings,MATCH(C6,Typicals,0),MATCH(C46,NDT_Techn,0)),"ABCDE"),2),"?")</f>
        <v>0.99</v>
      </c>
      <c r="D48" s="4" t="s">
        <v>186</v>
      </c>
    </row>
    <row r="49" spans="1:10" x14ac:dyDescent="0.3">
      <c r="B49" s="64" t="s">
        <v>185</v>
      </c>
      <c r="C49" s="99">
        <f ca="1">IFERROR((1-C48)*C42,"?")</f>
        <v>0.10000000000000009</v>
      </c>
      <c r="D49" s="96" t="s">
        <v>246</v>
      </c>
    </row>
    <row r="50" spans="1:10" x14ac:dyDescent="0.3">
      <c r="C50" s="116" t="str">
        <f ca="1">CHOOSE(IF(C49&gt;'NEN-EN 16991'!$AF$2,5,IF(C49&gt;'NEN-EN 16991'!$AE$2,4,IF(C49&gt;'NEN-EN 16991'!$AD$2,3,IF(C49&gt;'NEN-EN 16991'!$AC$2,2,1)))),"Very low","Low","Medium","High",IF(C49="?","?","Very high"))</f>
        <v>Low</v>
      </c>
      <c r="D50" s="431" t="s">
        <v>620</v>
      </c>
      <c r="E50" s="432"/>
      <c r="F50" s="432"/>
      <c r="G50" s="432"/>
      <c r="H50" s="432"/>
      <c r="I50" s="432"/>
    </row>
    <row r="51" spans="1:10" x14ac:dyDescent="0.3">
      <c r="B51" s="63" t="s">
        <v>612</v>
      </c>
      <c r="C51" s="392">
        <f ca="1">Faalkans!C13</f>
        <v>-10.019814496267294</v>
      </c>
      <c r="D51" s="391" t="s">
        <v>613</v>
      </c>
      <c r="E51" s="383"/>
      <c r="F51" s="383"/>
      <c r="G51" s="383"/>
      <c r="H51" s="383"/>
      <c r="I51" s="383"/>
    </row>
    <row r="52" spans="1:10" x14ac:dyDescent="0.3">
      <c r="D52" s="433" t="s">
        <v>550</v>
      </c>
      <c r="E52" s="433"/>
      <c r="F52" s="433"/>
      <c r="G52" s="433"/>
      <c r="H52" s="433"/>
      <c r="I52" s="433"/>
    </row>
    <row r="53" spans="1:10" ht="15.75" thickBot="1" x14ac:dyDescent="0.35">
      <c r="B53" s="444" t="s">
        <v>632</v>
      </c>
      <c r="C53" s="444"/>
      <c r="D53" s="444"/>
      <c r="E53" s="444"/>
      <c r="F53" s="444"/>
      <c r="G53" s="444"/>
      <c r="H53" s="444"/>
      <c r="I53" s="444"/>
    </row>
    <row r="54" spans="1:10" ht="18.75" thickBot="1" x14ac:dyDescent="0.4">
      <c r="A54" s="389" t="s">
        <v>607</v>
      </c>
      <c r="B54" s="387"/>
      <c r="C54" s="387"/>
      <c r="D54" s="387"/>
      <c r="E54" s="390" t="s">
        <v>608</v>
      </c>
      <c r="F54" s="387"/>
      <c r="G54" s="387"/>
      <c r="H54" s="387"/>
      <c r="I54" s="388"/>
    </row>
    <row r="55" spans="1:10" x14ac:dyDescent="0.3">
      <c r="A55" s="2"/>
      <c r="B55" s="2"/>
      <c r="C55" s="420"/>
      <c r="D55" s="420"/>
      <c r="E55" s="2"/>
      <c r="F55" s="2"/>
      <c r="G55" s="2"/>
      <c r="H55" s="2"/>
      <c r="I55" s="2"/>
    </row>
    <row r="56" spans="1:10" ht="15.75" thickBot="1" x14ac:dyDescent="0.35">
      <c r="A56" s="2"/>
      <c r="B56" s="403"/>
      <c r="C56" s="421" t="s">
        <v>615</v>
      </c>
      <c r="D56" s="402" t="s">
        <v>616</v>
      </c>
      <c r="E56" s="440" t="str">
        <f>C46</f>
        <v>5) Guided Waves / Long Range UT</v>
      </c>
      <c r="F56" s="440"/>
      <c r="G56" s="441"/>
      <c r="H56" s="404"/>
      <c r="I56" s="404"/>
    </row>
    <row r="57" spans="1:10" x14ac:dyDescent="0.3">
      <c r="A57" s="2"/>
      <c r="B57" s="409" t="s">
        <v>611</v>
      </c>
      <c r="C57" s="408" t="str">
        <f ca="1">C43</f>
        <v>Medium</v>
      </c>
      <c r="D57" s="415" t="str">
        <f ca="1">C50</f>
        <v>Low</v>
      </c>
      <c r="E57" s="442" t="s">
        <v>618</v>
      </c>
      <c r="F57" s="443"/>
      <c r="G57" s="414" t="str">
        <f ca="1">IF(C51&lt;0,"Onmiddellijk",C51)</f>
        <v>Onmiddellijk</v>
      </c>
      <c r="H57" s="404"/>
      <c r="I57" s="404"/>
    </row>
    <row r="58" spans="1:10" x14ac:dyDescent="0.3">
      <c r="A58" s="2"/>
      <c r="B58" s="409" t="s">
        <v>610</v>
      </c>
      <c r="C58" s="410">
        <f ca="1">C34</f>
        <v>6</v>
      </c>
      <c r="D58" s="416">
        <f ca="1">IFERROR(INDEX(ResFaalkans,FIND(INDEX(NDTEffRatings,MATCH(C6,Typicals,0),MATCH(C46,NDT_Techn,0)),"ABCDE"),MATCH(C58,FaalkansKlassen,0)),"?")</f>
        <v>3</v>
      </c>
      <c r="E58" s="442" t="s">
        <v>619</v>
      </c>
      <c r="F58" s="443"/>
      <c r="G58" s="418">
        <f>C47</f>
        <v>1</v>
      </c>
      <c r="H58" s="404"/>
      <c r="I58" s="404"/>
    </row>
    <row r="59" spans="1:10" x14ac:dyDescent="0.3">
      <c r="A59" s="2"/>
      <c r="B59" s="409" t="s">
        <v>609</v>
      </c>
      <c r="C59" s="411">
        <f ca="1">C42</f>
        <v>10</v>
      </c>
      <c r="D59" s="417">
        <f ca="1">C49</f>
        <v>0.10000000000000009</v>
      </c>
      <c r="E59" s="404"/>
      <c r="F59" s="404"/>
      <c r="G59" s="405"/>
      <c r="H59" s="404"/>
      <c r="I59" s="404"/>
    </row>
    <row r="60" spans="1:10" x14ac:dyDescent="0.3">
      <c r="A60" s="2"/>
      <c r="B60" s="412" t="s">
        <v>614</v>
      </c>
      <c r="C60" s="413">
        <f>C48</f>
        <v>0.99</v>
      </c>
      <c r="D60" s="419">
        <f ca="1">C59-D59</f>
        <v>9.9</v>
      </c>
      <c r="E60" s="406"/>
      <c r="F60" s="406"/>
      <c r="G60" s="407"/>
      <c r="H60" s="404"/>
      <c r="I60" s="404"/>
    </row>
    <row r="61" spans="1:10" x14ac:dyDescent="0.3">
      <c r="A61" s="2"/>
      <c r="B61" s="2"/>
      <c r="C61" s="2"/>
      <c r="D61" s="404"/>
      <c r="E61" s="404"/>
      <c r="F61" s="404"/>
      <c r="G61" s="404"/>
      <c r="H61" s="404"/>
      <c r="I61" s="404"/>
    </row>
    <row r="62" spans="1:10" ht="15.75" thickBot="1" x14ac:dyDescent="0.35">
      <c r="A62" s="112" t="s">
        <v>242</v>
      </c>
      <c r="B62" s="113"/>
      <c r="C62" s="113"/>
      <c r="D62" s="113"/>
      <c r="E62" s="113"/>
      <c r="F62" s="113"/>
      <c r="G62" s="113"/>
      <c r="H62" s="113"/>
      <c r="I62" s="114"/>
    </row>
    <row r="63" spans="1:10" ht="105" x14ac:dyDescent="0.3">
      <c r="A63" s="430" t="s">
        <v>249</v>
      </c>
      <c r="B63" s="430"/>
      <c r="C63" s="430"/>
      <c r="D63" s="430"/>
      <c r="E63" s="430"/>
      <c r="F63" s="430"/>
      <c r="G63" s="430"/>
      <c r="H63" s="430"/>
      <c r="I63" s="430"/>
      <c r="J63" s="3" t="s">
        <v>247</v>
      </c>
    </row>
    <row r="64" spans="1:10" hidden="1" x14ac:dyDescent="0.3"/>
    <row r="65" hidden="1" x14ac:dyDescent="0.3"/>
    <row r="66" hidden="1" x14ac:dyDescent="0.3"/>
    <row r="67" hidden="1" x14ac:dyDescent="0.3"/>
    <row r="68" hidden="1" x14ac:dyDescent="0.3"/>
    <row r="69" hidden="1" x14ac:dyDescent="0.3"/>
  </sheetData>
  <mergeCells count="11">
    <mergeCell ref="A35:A41"/>
    <mergeCell ref="A63:I63"/>
    <mergeCell ref="D50:I50"/>
    <mergeCell ref="D52:I52"/>
    <mergeCell ref="A9:A11"/>
    <mergeCell ref="A23:A24"/>
    <mergeCell ref="A13:A20"/>
    <mergeCell ref="E56:G56"/>
    <mergeCell ref="E57:F57"/>
    <mergeCell ref="E58:F58"/>
    <mergeCell ref="B53:I53"/>
  </mergeCells>
  <conditionalFormatting sqref="C35:C41">
    <cfRule type="expression" dxfId="33" priority="11">
      <formula>IF(COUNTBLANK($C$35:$C$41)=7,1,0)</formula>
    </cfRule>
  </conditionalFormatting>
  <conditionalFormatting sqref="C14:C15 C18:C19">
    <cfRule type="expression" dxfId="32" priority="9">
      <formula>IF(LEFT($C$7,1)="R",1,0)</formula>
    </cfRule>
  </conditionalFormatting>
  <conditionalFormatting sqref="C9:C11 C23:C25">
    <cfRule type="expression" dxfId="31" priority="8">
      <formula>IF(OR(IFERROR(SEARCH("*"&amp;"coat",$C$7),0),IFERROR(SEARCH("*"&amp;"TSA",$C$7),0)),0,1)</formula>
    </cfRule>
  </conditionalFormatting>
  <conditionalFormatting sqref="B43">
    <cfRule type="cellIs" dxfId="30" priority="7" operator="equal">
      <formula>"SAO"</formula>
    </cfRule>
  </conditionalFormatting>
  <conditionalFormatting sqref="G57">
    <cfRule type="expression" dxfId="29" priority="6">
      <formula>IF($C$51&lt;0,1,0)</formula>
    </cfRule>
  </conditionalFormatting>
  <conditionalFormatting sqref="C57:D57">
    <cfRule type="cellIs" dxfId="28" priority="5" operator="equal">
      <formula>"Very high"</formula>
    </cfRule>
    <cfRule type="cellIs" dxfId="27" priority="4" operator="equal">
      <formula>"High"</formula>
    </cfRule>
    <cfRule type="cellIs" dxfId="26" priority="3" operator="equal">
      <formula>"Medium"</formula>
    </cfRule>
    <cfRule type="cellIs" dxfId="25" priority="2" operator="equal">
      <formula>"Low"</formula>
    </cfRule>
    <cfRule type="cellIs" dxfId="24" priority="1" operator="equal">
      <formula>"Very low"</formula>
    </cfRule>
  </conditionalFormatting>
  <dataValidations xWindow="481" yWindow="347" count="32">
    <dataValidation type="list" allowBlank="1" showInputMessage="1" showErrorMessage="1" sqref="C16">
      <formula1>$E$16:$G$16</formula1>
    </dataValidation>
    <dataValidation type="list" allowBlank="1" showInputMessage="1" showErrorMessage="1" sqref="C14">
      <formula1>$E$14:$F$14</formula1>
    </dataValidation>
    <dataValidation type="list" allowBlank="1" showInputMessage="1" showErrorMessage="1" errorTitle="Nota bene:" error="Om afwijkende resultaten uit te sluiten kan hier alléén één van de opties worden ingevuld." promptTitle="Conditie resultaten:" prompt="Classificatie van de conditie van de isolatie._x000a_Dit op basis van beoordeling van de toestand met de aanwezige kans op inlek van vocht." sqref="C28">
      <formula1>$D$28:$J$28</formula1>
    </dataValidation>
    <dataValidation type="list" allowBlank="1" showInputMessage="1" showErrorMessage="1" errorTitle="Nota bene:" error="Om afwijkende resultaten uit te sluiten kan hier alléén één van de opties worden ingevuld." promptTitle="Aanwezigheid van omgevingsvocht:" prompt="De kans op binnentreden van vocht, gegeven de plaats waar de isolatie is aangebracht en de locale gebruiksomstandigheden." sqref="C30">
      <formula1>$E$30:$I$30</formula1>
    </dataValidation>
    <dataValidation type="list" allowBlank="1" showInputMessage="1" showErrorMessage="1" promptTitle="Kans van falen:" prompt="Kijk voor uitleg met betrekking tot de opties in het tab [NEN-EN 16991]._x000a_Dit OUTPUT veld kan desgewenst nog handmatig gewijzigd worden waarmee het dan losgekoppeld wordt van bovenstaande gegevens. Met de laatste keuze optie is de koppeling weer aanwezig." sqref="C34">
      <formula1>"1,2,3,4,5, =Faalkans!C12"</formula1>
    </dataValidation>
    <dataValidation type="list" allowBlank="1" showInputMessage="1" showErrorMessage="1" promptTitle="Opties (zie tabel):" prompt="Opties volgens tabel op tab. [Faalkans]" sqref="C7">
      <formula1>Materialen</formula1>
    </dataValidation>
    <dataValidation type="whole" operator="greaterThan" allowBlank="1" showInputMessage="1" showErrorMessage="1" promptTitle="Corrosie marge:" prompt="De hoeveelheid materiaal die kan verdwijnen totdat niet meer aan de integriteits-eisen wordt voldaan._x000a_(corrosie marge; 10% van de nominale dikte of de berekende beschikbare wanddikte voor corrosie)" sqref="C8">
      <formula1>0</formula1>
    </dataValidation>
    <dataValidation type="custom" showInputMessage="1" showErrorMessage="1" promptTitle="De toestand van de isolatie." prompt="Deze cel neemt de conditie over, zoals hierboven ingegeven._x000a_Dit is dus de conditie classificatie." sqref="C29">
      <formula1>0</formula1>
    </dataValidation>
    <dataValidation type="custom" showInputMessage="1" showErrorMessage="1" errorTitle="Géén input." error="De formule is afgeschermd om onbedoelde gegevensinbreng tegen te gaan." promptTitle="Het risico." prompt="Het risico op basis van procestemperatuur, kans op inlek en andere relevante omstandigheden (voor zover in het beslisproces in kaart gebracht)." sqref="C42">
      <formula1>0</formula1>
    </dataValidation>
    <dataValidation type="custom" showInputMessage="1" showErrorMessage="1" errorTitle="Data afgeschermd!" error="Deze berekening is afgeschermd tegen verandering om onbedoelde wijziging te voorkomen!" sqref="D41">
      <formula1>0</formula1>
    </dataValidation>
    <dataValidation type="custom" showInputMessage="1" showErrorMessage="1" errorTitle="Data afgeschermd!" error="Deze gegevens zijn afgeschermd om incidentele wijziging van de cellen te voorkomen." sqref="E16:I16 E14:H15">
      <formula1>0</formula1>
    </dataValidation>
    <dataValidation type="list" errorStyle="information" allowBlank="1" showInputMessage="1" showErrorMessage="1" errorTitle="Opmerking;" error="De skintemperatuur kan in beperkte mate afwijken in de richting van &quot;ambient&quot; (opgevingstemperatuur)" promptTitle="Skin temperatuur:" prompt="Dit is de materiaal temperatuur._x000a_Deze verschilt in het algemeen van de procestemperatuur._x000a_Daarom wordt deze hier handmatig ingegeven._x000a_In geval er een specifiek model is voor de temperatuur afhankelijk van het soort object, kan dat hier toegepast worden." sqref="C17">
      <formula1>" =ProcessTemp, =ProcessTemp-10, =ProcessTemp-20,  =ProcessTemp-30, =ProcessTemp+10, =ProcessTemp+20, =ProcessTemp+30"</formula1>
    </dataValidation>
    <dataValidation type="custom" allowBlank="1" showInputMessage="1" showErrorMessage="1" errorTitle="Onmogelijke invoer!" error="Het aantal cycli kan niet negatief zijn!" promptTitle="Nat-droog cycli:" prompt="Het aantal cycli wat van toepassing is, waarbij condensatie op kan treden onder de isolatie. Uitgangspunt is dat er altijd (bijv. bij stops) een condensatie scenario mogelijk is; bij lage aantallen is de isolatie toestand maatgevend voor de faalkans." sqref="C18">
      <formula1>IF(C18&lt;0,0,1)</formula1>
    </dataValidation>
    <dataValidation type="list" allowBlank="1" showInputMessage="1" showErrorMessage="1" promptTitle="Zout-risico:" prompt="De invloed van de locale omstandigheden via de in de lucht aanwezige stoffen. Eea volgens de categorieën zoals die in de ISO 12944 worden onderscheiden." sqref="C19">
      <formula1>ZoutRisico</formula1>
    </dataValidation>
    <dataValidation type="list" errorStyle="information" allowBlank="1" showInputMessage="1" showErrorMessage="1" errorTitle="Afwijkende keuze" error="Van dit materiaal is het effect (nog) niet bekend._x000a_Er wordt géén reducerende werking op de corrosiesnelheid verondersteld!" promptTitle="Isolatie materiaal:" prompt="Kies het materiaal of geef zelf een materiaal in._x000a_Hier onbekende materialen resulteren in maximaal effect." sqref="C15">
      <formula1>IsolatieMateriaal</formula1>
    </dataValidation>
    <dataValidation allowBlank="1" showInputMessage="1" showErrorMessage="1" promptTitle="In gebruik sinds:" prompt="Het moment van ingebruikname, wat voor het conditieverloop geldt als het &quot;nulpunt&quot;, oftewel het moment waarop de installatie &quot;als nieuw&quot; in gebruik is genomen._x000a_N.b.: dit kan ook een renovatiemoment zijn, als dit als een &quot;hernieuw begin&quot; kan worden gezien." sqref="C20"/>
    <dataValidation type="list" allowBlank="1" showInputMessage="1" showErrorMessage="1" promptTitle="Typical:" prompt="De component die maatgevend is voor de kritische locatie in de installatie (de &quot;hot spot&quot;)." sqref="C6">
      <formula1>Typicals</formula1>
    </dataValidation>
    <dataValidation type="list" allowBlank="1" showInputMessage="1" showErrorMessage="1" sqref="C46">
      <formula1>NDT_Techn</formula1>
    </dataValidation>
    <dataValidation type="custom" showInputMessage="1" showErrorMessage="1" errorTitle="Afgeschermde formule!" error="Deze cel is beschermd tegen wijzigingen om te voorkomen dat het gehanteerde model onbedoeld wordt gewijzigd!" promptTitle="Risico reductie:" prompt="De mate van risico reductie afhankelijk van de effectiviteit van de toegepaste beheersmaatregel._x000a_Hoe groter de effectiviteit, deste sterker het risico wordt gereduceerd." sqref="C48">
      <formula1>0</formula1>
    </dataValidation>
    <dataValidation type="custom" showInputMessage="1" showErrorMessage="1" errorTitle="Afgeschermde formule!" error="Deze cel is beschermd tegen wijzigingen om te voorkomen dat het gehanteerde model onbedoeld wordt gewijzigd!" sqref="C49">
      <formula1>0</formula1>
    </dataValidation>
    <dataValidation type="custom" showInputMessage="1" showErrorMessage="1" errorTitle="Afgeschermde formule!" error="Deze cel is beschermd tegen wijzigingen om te voorkomen dat het gehanteerde model onbedoeld wordt gewijzigd!" promptTitle="Het resterende risiconiveau." prompt="Het resterende risiconiveau wat ontstaat na toepassen van de beheersmaatregel met de daaruit voortvloeiende benodigde herstelmaatregelen." sqref="C50">
      <formula1>0</formula1>
    </dataValidation>
    <dataValidation allowBlank="1" showInputMessage="1" showErrorMessage="1" promptTitle="Ontwerp:" prompt="Dit betreft de mogelijkheid die vanuit het ontwerp is gegeven om de coating compleet en correct aan te brengen." sqref="B11"/>
    <dataValidation type="custom" allowBlank="1" showInputMessage="1" showErrorMessage="1" promptTitle="Levensduur coating / TSA." prompt="De levensduur die het gevolg is van de verschillende invloedsfactoren. Dit betreft een coating of TSA (Thermal Sprayed Aluminum)." sqref="C25">
      <formula1>0</formula1>
    </dataValidation>
    <dataValidation type="custom" showInputMessage="1" showErrorMessage="1" errorTitle="Nota bene:" error="Deze cel is afgeschermd om onbdoelde wijzigingen te vermijden." sqref="D42:D43">
      <formula1>0</formula1>
    </dataValidation>
    <dataValidation type="custom" showInputMessage="1" showErrorMessage="1" errorTitle="Nota bene:" error="Cel is afgeschermd tegen wijzigingen om onbedoelde veranderingen te voorkomen." sqref="D17 D20">
      <formula1>0</formula1>
    </dataValidation>
    <dataValidation type="custom" showInputMessage="1" showErrorMessage="1" errorTitle="Nota bene:" error="Dit veld is afgeschermd tegen wijzigingen om onbedoelde wijziging tegen te gaan!" promptTitle="Alarm veld:" prompt="Deze cel, dit veld, is erop ingericht om de gebruiker te waarschuwen dat de integriteit in dit geval niet is geborgd, doordat er te weinig bekend is over de toestand van de installatie." sqref="B43">
      <formula1>0</formula1>
    </dataValidation>
    <dataValidation type="custom" showInputMessage="1" showErrorMessage="1" errorTitle="Nota bene!" error="Dit veld is afgeschermd tegen wijzigingen om onbedoelde wijziging tegen te gaan!" sqref="C43">
      <formula1>0</formula1>
    </dataValidation>
    <dataValidation type="custom" showInputMessage="1" showErrorMessage="1" errorTitle="Afgeschermde formule!" error="Deze cel is beschermd tegen wijzigingen om te voorkomen dat het gehanteerde model onbedoeld wordt gewijzigd!" promptTitle="Vereiste dekking:" prompt="De mate van dekking die tijdens het onderzoek nodig is om de gegeven effectiviteit te behalen._x000a_Hoe groter de effectiviteit, deste sterker wordt het risico gereduceerd." sqref="C47">
      <formula1>0</formula1>
    </dataValidation>
    <dataValidation type="custom" showInputMessage="1" showErrorMessage="1" errorTitle="Afgeschermde formule!" error="Deze cel is beschermd tegen wijzigingen om te voorkomen dat het gehanteerde model onbedoeld wordt gewijzigd!" promptTitle="Inspectie interval:" prompt="Het inspectie interval, gegeven de tijd tot normatief falen én de gevolgklasse van falen._x000a_De laatste vertaalt zich in een interval reductie, zoals afgeleid uit de reductiefactor volgens de praktijkregels voor drukapparatuur (PrdA 2.3; appendix 5B)." sqref="C51">
      <formula1>0</formula1>
    </dataValidation>
    <dataValidation type="custom" showInputMessage="1" showErrorMessage="1" errorTitle="Nota bene:" error="De gegevens in de cel zijn afgeschermd om ombedoelde wijziging te voorkomen!" sqref="A55:F61 H55:I61 G55:G56 G58:G61">
      <formula1>0</formula1>
    </dataValidation>
    <dataValidation type="custom" showInputMessage="1" showErrorMessage="1" errorTitle="Nota bene:" error="De gegevens in de cel zijn afgeschermd om ombedoelde wijziging te voorkomen!" promptTitle="Risk Based inspectie termijn:" prompt="Zoals berekend in de cel hierboven." sqref="G57">
      <formula1>0</formula1>
    </dataValidation>
    <dataValidation type="custom" showInputMessage="1" showErrorMessage="1" sqref="B47 B48 B49 B51 B46">
      <formula1>0</formula1>
    </dataValidation>
  </dataValidations>
  <hyperlinks>
    <hyperlink ref="A23:A24" location="'Coating bescherming'!B13" tooltip="Klik op de link om de toelichting te zien." display="Coating:"/>
    <hyperlink ref="A9:A11" location="'Coating bescherming'!B10" tooltip="Klik op de link om de toelichting te zien." display="Coating:"/>
    <hyperlink ref="A13:A20" location="CorrosieModel!A40" tooltip="Klik op de link om de toelichting te zien." display="Corrosie:"/>
  </hyperlinks>
  <pageMargins left="0.70866141732283472" right="0.70866141732283472" top="1.3385826771653544" bottom="0.74803149606299213" header="0.31496062992125984" footer="0.31496062992125984"/>
  <pageSetup paperSize="9" scale="56" orientation="portrait" r:id="rId1"/>
  <headerFooter>
    <oddHeader>&amp;L&amp;G&amp;RWorld Class Maintenance project: Risk Based CUI Management.</oddHeader>
    <oddFooter>&amp;L&amp;9File / Tab: &amp;F / &amp;A&amp;C&amp;9Printdatum: &amp;D&amp;R&amp;9Bladzijde &amp;P van &amp;N.</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0" id="{205DD032-7D1E-40BF-9F09-184597D4117B}">
            <xm:f>IF(MATCH($C$24,'Coating bescherming'!$D$15:$G$15,0)=2,0,1)</xm:f>
            <x14:dxf>
              <fill>
                <patternFill patternType="lightGray"/>
              </fill>
            </x14:dxf>
          </x14:cfRule>
          <xm:sqref>C10</xm:sqref>
        </x14:conditionalFormatting>
      </x14:conditionalFormattings>
    </ext>
    <ext xmlns:x14="http://schemas.microsoft.com/office/spreadsheetml/2009/9/main" uri="{CCE6A557-97BC-4b89-ADB6-D9C93CAAB3DF}">
      <x14:dataValidations xmlns:xm="http://schemas.microsoft.com/office/excel/2006/main" xWindow="481" yWindow="347" count="6">
        <x14:dataValidation type="list" allowBlank="1" showInputMessage="1" showErrorMessage="1" errorTitle="Nota bene:" error="Andere, afwijkende, categorieën worden niet geaccepteerd omdat dit afwijkt van het gehanteerde model voor risicobeoordeling." promptTitle="Optie:" prompt="Zie klasse indeling op Tabblad NEN-EN 16991._x000a__x000a_Gedeeltelijke kleur geeft weer dat invullen van ALLE velden een keuze is en géén noodzaak.">
          <x14:formula1>
            <xm:f>'NEN-EN 16991'!$I$12:$I$16</xm:f>
          </x14:formula1>
          <xm:sqref>C35:C41</xm:sqref>
        </x14:dataValidation>
        <x14:dataValidation type="list" allowBlank="1" showInputMessage="1" showErrorMessage="1" promptTitle="Opties in proces &amp; uitvoering:" prompt="1- 100% doordacht en haalbaar proces. Getoetst door coatingdeskundige;_x000a_Goed plan; voldoende expertise_x000a_2- Goed plan; onvoldoende expertise_x000a_3- Onvoldoende plan; voldoende expertise_x000a_4- Onvoldoende plan; onvoldoende expertise">
          <x14:formula1>
            <xm:f>'Coating bescherming'!$D$14:$G$14</xm:f>
          </x14:formula1>
          <xm:sqref>C23</xm:sqref>
        </x14:dataValidation>
        <x14:dataValidation type="list" allowBlank="1" showInputMessage="1" showErrorMessage="1" promptTitle="Opties in toestand van isolatie:" prompt="1- Goede uitvoering en voldoende onderhoud_x000a_2- Voldoende uitvoering en onvoldoende onderhoud_x000a_3- Onvoldoende uitvoering, voldoende onderhoud_x000a_4- Onvoldoende uitvoering, onvoldoende onderhoud">
          <x14:formula1>
            <xm:f>'Coating bescherming'!$D$15:$G$15</xm:f>
          </x14:formula1>
          <xm:sqref>C24</xm:sqref>
        </x14:dataValidation>
        <x14:dataValidation type="list" allowBlank="1" showInputMessage="1" showErrorMessage="1" promptTitle="Opties:" prompt="1- Getest (= voldoende tolerant)* en &gt;10 jaar ervaring_x000a_2- Volledig getest en geen langdurige ervaring ervaring_x000a_3- Onvolledig getest maar geen ervaring; Nieuwe systemen">
          <x14:formula1>
            <xm:f>'Coating bescherming'!$D$11:$F$11</xm:f>
          </x14:formula1>
          <xm:sqref>C9</xm:sqref>
        </x14:dataValidation>
        <x14:dataValidation type="list" allowBlank="1" showInputMessage="1" showErrorMessage="1" promptTitle="Opties:" prompt="1-Conserveerbaarheid conform ISO 12944-3 vlgs coatingsdeskundige._x000a_Toegankelijkheid geschikt voor conservering_x000a_2-Conserveerbaarheid op 50% van het object moeilijk, bijv. liften bij oplegpunten._x000a_3- Conserveerbaarheid op &gt;80% van het object moeilijk, ,, . ">
          <x14:formula1>
            <xm:f>'Coating bescherming'!$D$13:$F$13</xm:f>
          </x14:formula1>
          <xm:sqref>C11</xm:sqref>
        </x14:dataValidation>
        <x14:dataValidation type="list" allowBlank="1" showInputMessage="1" showErrorMessage="1" promptTitle="Opties in coating kwaliteit:" prompt="1- Oude generatie coatings._x000a_2- Huidige, nieuwe generatie coatings.">
          <x14:formula1>
            <xm:f>'Coating bescherming'!$D$12:$E$12</xm:f>
          </x14:formula1>
          <xm:sqref>C10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pageSetUpPr fitToPage="1"/>
  </sheetPr>
  <dimension ref="A1:AG27"/>
  <sheetViews>
    <sheetView zoomScale="85" zoomScaleNormal="85" workbookViewId="0">
      <selection activeCell="I2" sqref="I2"/>
    </sheetView>
  </sheetViews>
  <sheetFormatPr defaultRowHeight="15" zeroHeight="1" x14ac:dyDescent="0.3"/>
  <cols>
    <col min="1" max="1" width="5.28515625" customWidth="1"/>
    <col min="2" max="2" width="20.28515625" customWidth="1"/>
    <col min="3" max="3" width="15.85546875" customWidth="1"/>
    <col min="4" max="4" width="15.28515625" customWidth="1"/>
    <col min="5" max="5" width="11" customWidth="1"/>
    <col min="6" max="6" width="15.42578125" customWidth="1"/>
    <col min="7" max="7" width="28.42578125" customWidth="1"/>
    <col min="8" max="8" width="19.7109375" customWidth="1"/>
    <col min="9" max="9" width="6.42578125" customWidth="1"/>
    <col min="15" max="15" width="2.85546875" customWidth="1"/>
    <col min="16" max="20" width="8.7109375" customWidth="1"/>
    <col min="21" max="21" width="2.85546875" customWidth="1"/>
    <col min="22" max="26" width="8.7109375" customWidth="1"/>
    <col min="27" max="27" width="3" customWidth="1"/>
    <col min="28" max="32" width="8.7109375" customWidth="1"/>
    <col min="33" max="33" width="2.42578125" customWidth="1"/>
  </cols>
  <sheetData>
    <row r="1" spans="1:33" ht="18" x14ac:dyDescent="0.35">
      <c r="B1" s="49" t="s">
        <v>50</v>
      </c>
      <c r="E1" s="361" t="s">
        <v>446</v>
      </c>
      <c r="O1" s="50"/>
      <c r="P1" s="48" t="s">
        <v>128</v>
      </c>
      <c r="R1" s="29" t="s">
        <v>132</v>
      </c>
      <c r="U1" s="50"/>
      <c r="V1" s="48" t="s">
        <v>129</v>
      </c>
      <c r="X1" s="29" t="s">
        <v>132</v>
      </c>
      <c r="AA1" s="50"/>
      <c r="AB1" s="48" t="s">
        <v>130</v>
      </c>
      <c r="AE1" s="29" t="s">
        <v>51</v>
      </c>
      <c r="AG1" s="50"/>
    </row>
    <row r="2" spans="1:33" ht="15.75" thickBot="1" x14ac:dyDescent="0.35">
      <c r="B2" s="23" t="s">
        <v>51</v>
      </c>
      <c r="C2" s="23" t="s">
        <v>131</v>
      </c>
      <c r="D2" s="23" t="s">
        <v>52</v>
      </c>
      <c r="E2" s="23" t="s">
        <v>59</v>
      </c>
      <c r="F2" s="23" t="s">
        <v>53</v>
      </c>
      <c r="G2" s="23" t="s">
        <v>54</v>
      </c>
      <c r="H2" s="23"/>
      <c r="I2" s="23" t="s">
        <v>55</v>
      </c>
      <c r="O2" s="50"/>
      <c r="P2" s="59" t="str">
        <f>"&lt;"&amp;Q2</f>
        <v>&lt;0,000005</v>
      </c>
      <c r="Q2" s="51">
        <v>5.0000000000000004E-6</v>
      </c>
      <c r="R2" s="52">
        <v>5.0000000000000001E-4</v>
      </c>
      <c r="S2" s="53">
        <v>0.05</v>
      </c>
      <c r="T2" s="54">
        <v>5</v>
      </c>
      <c r="U2" s="50"/>
      <c r="V2" s="59" t="str">
        <f>"&lt;"&amp;W2</f>
        <v>&lt;0,0005</v>
      </c>
      <c r="W2" s="51">
        <v>5.0000000000000001E-4</v>
      </c>
      <c r="X2" s="52">
        <v>0.05</v>
      </c>
      <c r="Y2" s="53">
        <v>5</v>
      </c>
      <c r="Z2" s="54">
        <v>500</v>
      </c>
      <c r="AA2" s="50"/>
      <c r="AB2" s="59" t="str">
        <f>"&lt;"&amp;AC2</f>
        <v>&lt;0,01</v>
      </c>
      <c r="AC2" s="51">
        <v>0.01</v>
      </c>
      <c r="AD2" s="52">
        <v>1</v>
      </c>
      <c r="AE2" s="53">
        <v>100</v>
      </c>
      <c r="AF2" s="54">
        <v>10000</v>
      </c>
      <c r="AG2" s="50"/>
    </row>
    <row r="3" spans="1:33" ht="60" x14ac:dyDescent="0.3">
      <c r="A3" s="445" t="s">
        <v>70</v>
      </c>
      <c r="B3" s="25" t="s">
        <v>56</v>
      </c>
      <c r="C3" s="26">
        <v>0</v>
      </c>
      <c r="D3" s="24" t="s">
        <v>60</v>
      </c>
      <c r="E3" s="27">
        <v>1</v>
      </c>
      <c r="F3" s="24" t="s">
        <v>65</v>
      </c>
      <c r="G3" s="8" t="s">
        <v>127</v>
      </c>
      <c r="H3" s="8" t="s">
        <v>118</v>
      </c>
      <c r="I3" s="28">
        <v>5</v>
      </c>
      <c r="J3" s="37"/>
      <c r="K3" s="38"/>
      <c r="L3" s="38"/>
      <c r="M3" s="39"/>
      <c r="N3" s="40" t="s">
        <v>117</v>
      </c>
      <c r="P3" s="24">
        <f>0.1*$E$12*10^-2</f>
        <v>0.01</v>
      </c>
      <c r="Q3" s="24">
        <f>0.1*$E$13*10^-2</f>
        <v>0.1</v>
      </c>
      <c r="R3" s="57">
        <f>0.1*$E$14*10^-2</f>
        <v>1</v>
      </c>
      <c r="S3" s="57">
        <f>0.1*$E$15*10^-2</f>
        <v>10</v>
      </c>
      <c r="T3" s="57">
        <f>1*$E$15*10^-2</f>
        <v>100</v>
      </c>
      <c r="V3" s="57">
        <f>$E$12*10^-1</f>
        <v>1</v>
      </c>
      <c r="W3" s="57">
        <f>$E$13*10^-1</f>
        <v>10</v>
      </c>
      <c r="X3" s="57">
        <f>$E$14*10^-1</f>
        <v>100</v>
      </c>
      <c r="Y3" s="57">
        <f>$E$15*10^-1</f>
        <v>1000</v>
      </c>
      <c r="Z3" s="57">
        <f>10*$E$15*10^-1</f>
        <v>10000</v>
      </c>
      <c r="AB3" s="57">
        <f>((0+10)/2)/((0+1)/2)</f>
        <v>10</v>
      </c>
      <c r="AC3" s="57">
        <f>((10+100)/2)/((0+1)/2)</f>
        <v>110</v>
      </c>
      <c r="AD3" s="57">
        <f>((100+1000)/2)/((0+1)/2)</f>
        <v>1100</v>
      </c>
      <c r="AE3" s="57">
        <f>((1000+10000)/2)/((0+1)/2)</f>
        <v>11000</v>
      </c>
      <c r="AF3" s="57">
        <f>(10000*AVERAGE(5,5.5,5.5,5.5))/((0+1)/2)</f>
        <v>107500</v>
      </c>
    </row>
    <row r="4" spans="1:33" ht="60" x14ac:dyDescent="0.3">
      <c r="A4" s="445"/>
      <c r="B4" s="25" t="s">
        <v>57</v>
      </c>
      <c r="C4" s="26">
        <v>1</v>
      </c>
      <c r="D4" s="24" t="s">
        <v>61</v>
      </c>
      <c r="E4" s="27">
        <v>0.01</v>
      </c>
      <c r="F4" s="24" t="s">
        <v>66</v>
      </c>
      <c r="G4" s="8" t="s">
        <v>126</v>
      </c>
      <c r="H4" s="8" t="s">
        <v>119</v>
      </c>
      <c r="I4" s="28">
        <v>4</v>
      </c>
      <c r="J4" s="37"/>
      <c r="K4" s="37"/>
      <c r="L4" s="38"/>
      <c r="M4" s="38" t="s">
        <v>116</v>
      </c>
      <c r="N4" s="39"/>
      <c r="P4" s="24">
        <f>0.1*$E$12*10^-3</f>
        <v>1E-3</v>
      </c>
      <c r="Q4" s="24">
        <f>0.1*$E$13*10^-3</f>
        <v>0.01</v>
      </c>
      <c r="R4" s="24">
        <f>0.1*$E$14*10^-3</f>
        <v>0.1</v>
      </c>
      <c r="S4" s="57">
        <f>0.1*$E$15*10^-3</f>
        <v>1</v>
      </c>
      <c r="T4" s="57">
        <f>1*$E$15*10^-3</f>
        <v>10</v>
      </c>
      <c r="V4" s="55">
        <f>$E$12*10^-2</f>
        <v>0.1</v>
      </c>
      <c r="W4" s="57">
        <f>$E$13*10^-2</f>
        <v>1</v>
      </c>
      <c r="X4" s="57">
        <f>$E$14*10^-2</f>
        <v>10</v>
      </c>
      <c r="Y4" s="57">
        <f>$E$15*10^-2</f>
        <v>100</v>
      </c>
      <c r="Z4" s="57">
        <f>10*$E$15*10^-2</f>
        <v>1000</v>
      </c>
      <c r="AB4" s="56">
        <f>((0+10)/2)/((1+5)/2)</f>
        <v>1.6666666666666667</v>
      </c>
      <c r="AC4" s="57">
        <f>((10+100)/2)/((1+5)/2)</f>
        <v>18.333333333333332</v>
      </c>
      <c r="AD4" s="57">
        <f>((100+1000)/2)/((1+5)/2)</f>
        <v>183.33333333333334</v>
      </c>
      <c r="AE4" s="57">
        <f>((1000+10000)/2)/((1+5)/2)</f>
        <v>1833.3333333333333</v>
      </c>
      <c r="AF4" s="57">
        <f>(10000*AVERAGE(5,5.5,5.5,5.5))/((1+5)/2)</f>
        <v>17916.666666666668</v>
      </c>
    </row>
    <row r="5" spans="1:33" ht="75" x14ac:dyDescent="0.3">
      <c r="A5" s="445"/>
      <c r="B5" s="25" t="s">
        <v>58</v>
      </c>
      <c r="C5" s="26">
        <v>5</v>
      </c>
      <c r="D5" s="24" t="s">
        <v>62</v>
      </c>
      <c r="E5" s="27">
        <f>E4/10</f>
        <v>1E-3</v>
      </c>
      <c r="F5" s="24" t="s">
        <v>67</v>
      </c>
      <c r="G5" s="8" t="s">
        <v>125</v>
      </c>
      <c r="H5" s="8" t="s">
        <v>120</v>
      </c>
      <c r="I5" s="28">
        <v>3</v>
      </c>
      <c r="J5" s="41"/>
      <c r="K5" s="37"/>
      <c r="L5" s="37" t="s">
        <v>115</v>
      </c>
      <c r="M5" s="38"/>
      <c r="N5" s="38"/>
      <c r="P5" s="24">
        <f>0.1*$E$12*10^-4</f>
        <v>1E-4</v>
      </c>
      <c r="Q5" s="24">
        <f>0.1*$E$13*10^-4</f>
        <v>1E-3</v>
      </c>
      <c r="R5" s="24">
        <f>0.1*$E$14*10^-4</f>
        <v>0.01</v>
      </c>
      <c r="S5" s="24">
        <f>0.1*$E$15*10^-4</f>
        <v>0.1</v>
      </c>
      <c r="T5" s="57">
        <f>1*$E$15*10^-4</f>
        <v>1</v>
      </c>
      <c r="V5" s="55">
        <f>$E$12*10^-3</f>
        <v>0.01</v>
      </c>
      <c r="W5" s="55">
        <f>$E$13*10^-3</f>
        <v>0.1</v>
      </c>
      <c r="X5" s="57">
        <f>$E$14*10^-3</f>
        <v>1</v>
      </c>
      <c r="Y5" s="57">
        <f>$E$15*10^-3</f>
        <v>10</v>
      </c>
      <c r="Z5" s="57">
        <f>10*$E$15*10^-3</f>
        <v>100</v>
      </c>
      <c r="AB5" s="56">
        <f>((0+10)/2)/((5+25)/2)</f>
        <v>0.33333333333333331</v>
      </c>
      <c r="AC5" s="56">
        <f>((10+100)/2)/((5+25)/2)</f>
        <v>3.6666666666666665</v>
      </c>
      <c r="AD5" s="57">
        <f>((100+1000)/2)/((5+25)/2)</f>
        <v>36.666666666666664</v>
      </c>
      <c r="AE5" s="57">
        <f>((1000+10000)/2)/((5+25)/2)</f>
        <v>366.66666666666669</v>
      </c>
      <c r="AF5" s="57">
        <f>(10000*AVERAGE(5,5.5,5.5,5.5))/((5+25)/2)</f>
        <v>3583.3333333333335</v>
      </c>
    </row>
    <row r="6" spans="1:33" ht="75" x14ac:dyDescent="0.3">
      <c r="A6" s="445"/>
      <c r="B6" s="25" t="s">
        <v>302</v>
      </c>
      <c r="C6" s="26">
        <v>25</v>
      </c>
      <c r="D6" s="24" t="s">
        <v>63</v>
      </c>
      <c r="E6" s="27">
        <f>E5/10</f>
        <v>1E-4</v>
      </c>
      <c r="F6" s="24" t="s">
        <v>68</v>
      </c>
      <c r="G6" s="8" t="s">
        <v>124</v>
      </c>
      <c r="H6" s="8" t="s">
        <v>121</v>
      </c>
      <c r="I6" s="28">
        <v>2</v>
      </c>
      <c r="J6" s="41"/>
      <c r="K6" s="41" t="s">
        <v>114</v>
      </c>
      <c r="L6" s="37"/>
      <c r="M6" s="37"/>
      <c r="N6" s="38"/>
      <c r="P6" s="24">
        <f>0.1*$E$12*10^-5</f>
        <v>1.0000000000000001E-5</v>
      </c>
      <c r="Q6" s="24">
        <f>0.1*$E$13*10^-5</f>
        <v>1E-4</v>
      </c>
      <c r="R6" s="24">
        <f>0.1*$E$14*10^-5</f>
        <v>1E-3</v>
      </c>
      <c r="S6" s="24">
        <f>0.1*$E$15*10^-5</f>
        <v>0.01</v>
      </c>
      <c r="T6" s="24">
        <f>1*$E$15*10^-5</f>
        <v>0.1</v>
      </c>
      <c r="V6" s="55">
        <f>$E$12*10^-4</f>
        <v>1E-3</v>
      </c>
      <c r="W6" s="55">
        <f>$E$13*10^-4</f>
        <v>0.01</v>
      </c>
      <c r="X6" s="55">
        <f>$E$14*10^-4</f>
        <v>0.1</v>
      </c>
      <c r="Y6" s="57">
        <f>$E$15*10^-4</f>
        <v>1</v>
      </c>
      <c r="Z6" s="57">
        <f>10*$E$15*10^-4</f>
        <v>10</v>
      </c>
      <c r="AB6" s="154">
        <f>((0+10)/2)/((25+125)/2)</f>
        <v>6.6666666666666666E-2</v>
      </c>
      <c r="AC6" s="154">
        <f>((10+100)/2)/((25+125)/2)</f>
        <v>0.73333333333333328</v>
      </c>
      <c r="AD6" s="154">
        <f>((100+1000)/2)/((25+125)/2)</f>
        <v>7.333333333333333</v>
      </c>
      <c r="AE6" s="57">
        <f>((1000+10000)/2)/((25+125)/2)</f>
        <v>73.333333333333329</v>
      </c>
      <c r="AF6" s="57">
        <f>(10000*AVERAGE(5,5.5,5.5,5.5))/((25+125)/2)</f>
        <v>716.66666666666663</v>
      </c>
    </row>
    <row r="7" spans="1:33" ht="45" x14ac:dyDescent="0.3">
      <c r="A7" s="445"/>
      <c r="B7" s="25" t="s">
        <v>303</v>
      </c>
      <c r="C7" s="26">
        <v>125</v>
      </c>
      <c r="D7" s="24" t="s">
        <v>64</v>
      </c>
      <c r="E7" s="27">
        <f>E6/10</f>
        <v>1.0000000000000001E-5</v>
      </c>
      <c r="F7" s="24" t="s">
        <v>69</v>
      </c>
      <c r="G7" s="8" t="s">
        <v>123</v>
      </c>
      <c r="H7" s="8" t="s">
        <v>122</v>
      </c>
      <c r="I7" s="28">
        <v>1</v>
      </c>
      <c r="J7" s="42" t="s">
        <v>113</v>
      </c>
      <c r="K7" s="41"/>
      <c r="L7" s="41"/>
      <c r="M7" s="37"/>
      <c r="N7" s="37"/>
      <c r="P7" s="24">
        <f>0.1*$E$12*10^-6</f>
        <v>9.9999999999999995E-7</v>
      </c>
      <c r="Q7" s="24">
        <f>0.1*$E$13*10^-6</f>
        <v>9.9999999999999991E-6</v>
      </c>
      <c r="R7" s="24">
        <f>0.1*$E$14*10^-6</f>
        <v>9.9999999999999991E-5</v>
      </c>
      <c r="S7" s="24">
        <f>0.1*$E$15*10^-6</f>
        <v>1E-3</v>
      </c>
      <c r="T7" s="24">
        <f>1*$E$15*10^-6</f>
        <v>0.01</v>
      </c>
      <c r="V7" s="55">
        <f>$E$12*10^-5</f>
        <v>1E-4</v>
      </c>
      <c r="W7" s="55">
        <f>$E$13*10^-5</f>
        <v>1E-3</v>
      </c>
      <c r="X7" s="55">
        <f>$E$14*10^-5</f>
        <v>0.01</v>
      </c>
      <c r="Y7" s="55">
        <f>$E$15*10^-5</f>
        <v>0.1</v>
      </c>
      <c r="Z7" s="57">
        <f>10*$E$15*10^-5</f>
        <v>1</v>
      </c>
      <c r="AB7" s="154">
        <f>((0+10)/2)/(125*(AVERAGE(3/0.5,15/3,75/30)))</f>
        <v>8.8888888888888889E-3</v>
      </c>
      <c r="AC7" s="154">
        <f>((10+100)/2)/(125*(AVERAGE(3/0.5,15/3,75/30)))</f>
        <v>9.7777777777777783E-2</v>
      </c>
      <c r="AD7" s="154">
        <f>((100+1000)/2)/(125*(AVERAGE(3/0.5,15/3,75/30)))</f>
        <v>0.97777777777777775</v>
      </c>
      <c r="AE7" s="154">
        <f>((1000+10000)/2)/(125*(AVERAGE(3/0.5,15/3,75/30)))</f>
        <v>9.7777777777777786</v>
      </c>
      <c r="AF7" s="57">
        <f>(10000*AVERAGE(5,5.5,5.5,5.5))/(125*(AVERAGE(3/0.5,15/3,75/30)))</f>
        <v>95.555555555555557</v>
      </c>
    </row>
    <row r="8" spans="1:33" ht="18" x14ac:dyDescent="0.3">
      <c r="B8" s="29" t="s">
        <v>71</v>
      </c>
      <c r="I8" s="30"/>
      <c r="J8" s="31" t="s">
        <v>74</v>
      </c>
      <c r="K8" s="31" t="s">
        <v>75</v>
      </c>
      <c r="L8" s="31" t="s">
        <v>76</v>
      </c>
      <c r="M8" s="31" t="s">
        <v>77</v>
      </c>
      <c r="N8" s="31" t="s">
        <v>78</v>
      </c>
    </row>
    <row r="9" spans="1:33" x14ac:dyDescent="0.3">
      <c r="B9" s="9" t="s">
        <v>72</v>
      </c>
      <c r="I9" s="30"/>
      <c r="J9" s="30"/>
      <c r="K9" s="30"/>
      <c r="L9" s="30"/>
      <c r="M9" s="30"/>
      <c r="N9" s="30"/>
    </row>
    <row r="10" spans="1:33" x14ac:dyDescent="0.3">
      <c r="B10" s="9" t="s">
        <v>73</v>
      </c>
      <c r="I10" s="30"/>
      <c r="J10" s="30"/>
      <c r="K10" s="30"/>
      <c r="L10" s="30"/>
      <c r="M10" s="30"/>
      <c r="N10" s="30"/>
    </row>
    <row r="11" spans="1:33" ht="15.75" thickBot="1" x14ac:dyDescent="0.35">
      <c r="B11" s="6" t="s">
        <v>79</v>
      </c>
      <c r="C11" s="6" t="s">
        <v>80</v>
      </c>
      <c r="D11" s="6" t="s">
        <v>91</v>
      </c>
      <c r="E11" s="35" t="s">
        <v>97</v>
      </c>
      <c r="F11" s="35" t="s">
        <v>98</v>
      </c>
      <c r="G11" s="36" t="s">
        <v>104</v>
      </c>
      <c r="H11" s="36" t="s">
        <v>109</v>
      </c>
      <c r="I11" s="32"/>
      <c r="J11" s="30"/>
      <c r="K11" s="30"/>
      <c r="L11" s="30"/>
      <c r="M11" s="30"/>
      <c r="N11" s="30"/>
      <c r="Q11" s="453" t="s">
        <v>313</v>
      </c>
      <c r="R11" s="454"/>
      <c r="S11" s="454"/>
      <c r="T11" s="455"/>
    </row>
    <row r="12" spans="1:33" ht="48" customHeight="1" thickBot="1" x14ac:dyDescent="0.35">
      <c r="A12" s="445" t="s">
        <v>483</v>
      </c>
      <c r="B12" s="43" t="s">
        <v>81</v>
      </c>
      <c r="C12" s="156" t="s">
        <v>86</v>
      </c>
      <c r="D12" s="156" t="s">
        <v>92</v>
      </c>
      <c r="E12" s="44">
        <v>10</v>
      </c>
      <c r="F12" s="43" t="s">
        <v>99</v>
      </c>
      <c r="G12" s="43" t="s">
        <v>99</v>
      </c>
      <c r="H12" s="43" t="s">
        <v>99</v>
      </c>
      <c r="I12" s="33" t="s">
        <v>74</v>
      </c>
      <c r="J12" s="351">
        <v>1</v>
      </c>
      <c r="K12" s="30"/>
      <c r="L12" s="30"/>
      <c r="M12" s="30"/>
      <c r="N12" s="30"/>
      <c r="Q12" s="446" t="s">
        <v>306</v>
      </c>
      <c r="R12" s="447"/>
      <c r="S12" s="447"/>
      <c r="T12" s="447"/>
    </row>
    <row r="13" spans="1:33" ht="48" customHeight="1" thickBot="1" x14ac:dyDescent="0.35">
      <c r="A13" s="445"/>
      <c r="B13" s="45" t="s">
        <v>82</v>
      </c>
      <c r="C13" s="157" t="s">
        <v>87</v>
      </c>
      <c r="D13" s="157" t="s">
        <v>93</v>
      </c>
      <c r="E13" s="46">
        <v>100</v>
      </c>
      <c r="F13" s="45" t="s">
        <v>100</v>
      </c>
      <c r="G13" s="45" t="s">
        <v>105</v>
      </c>
      <c r="H13" s="45" t="s">
        <v>110</v>
      </c>
      <c r="I13" s="33" t="s">
        <v>75</v>
      </c>
      <c r="J13" s="352">
        <v>0.7</v>
      </c>
      <c r="K13" s="32"/>
      <c r="L13" s="30"/>
      <c r="M13" s="30"/>
      <c r="N13" s="30"/>
      <c r="Q13" s="448" t="s">
        <v>307</v>
      </c>
      <c r="R13" s="447"/>
      <c r="S13" s="447"/>
      <c r="T13" s="447"/>
    </row>
    <row r="14" spans="1:33" ht="48" customHeight="1" thickBot="1" x14ac:dyDescent="0.35">
      <c r="A14" s="445"/>
      <c r="B14" s="45" t="s">
        <v>83</v>
      </c>
      <c r="C14" s="157" t="s">
        <v>88</v>
      </c>
      <c r="D14" s="157" t="s">
        <v>94</v>
      </c>
      <c r="E14" s="46">
        <v>1000</v>
      </c>
      <c r="F14" s="45" t="s">
        <v>101</v>
      </c>
      <c r="G14" s="47" t="s">
        <v>106</v>
      </c>
      <c r="H14" s="47" t="s">
        <v>105</v>
      </c>
      <c r="I14" s="33" t="s">
        <v>76</v>
      </c>
      <c r="J14" s="352">
        <v>0.5</v>
      </c>
      <c r="K14" s="34"/>
      <c r="L14" s="32"/>
      <c r="M14" s="30"/>
      <c r="N14" s="30"/>
      <c r="Q14" s="449" t="s">
        <v>308</v>
      </c>
      <c r="R14" s="447"/>
      <c r="S14" s="447"/>
      <c r="T14" s="447"/>
    </row>
    <row r="15" spans="1:33" ht="48" customHeight="1" thickBot="1" x14ac:dyDescent="0.35">
      <c r="A15" s="445"/>
      <c r="B15" s="45" t="s">
        <v>84</v>
      </c>
      <c r="C15" s="157" t="s">
        <v>89</v>
      </c>
      <c r="D15" s="157" t="s">
        <v>95</v>
      </c>
      <c r="E15" s="46">
        <v>10000</v>
      </c>
      <c r="F15" s="45" t="s">
        <v>102</v>
      </c>
      <c r="G15" s="47" t="s">
        <v>107</v>
      </c>
      <c r="H15" s="47" t="s">
        <v>111</v>
      </c>
      <c r="I15" s="33" t="s">
        <v>77</v>
      </c>
      <c r="J15" s="352">
        <v>0.3</v>
      </c>
      <c r="K15" s="34"/>
      <c r="L15" s="34"/>
      <c r="M15" s="32"/>
      <c r="N15" s="30"/>
      <c r="Q15" s="450" t="s">
        <v>314</v>
      </c>
      <c r="R15" s="451"/>
      <c r="S15" s="451"/>
      <c r="T15" s="451"/>
    </row>
    <row r="16" spans="1:33" ht="48" customHeight="1" thickBot="1" x14ac:dyDescent="0.35">
      <c r="A16" s="445"/>
      <c r="B16" s="45" t="s">
        <v>85</v>
      </c>
      <c r="C16" s="157" t="s">
        <v>90</v>
      </c>
      <c r="D16" s="157" t="s">
        <v>96</v>
      </c>
      <c r="E16" s="155">
        <v>10000</v>
      </c>
      <c r="F16" s="45" t="s">
        <v>103</v>
      </c>
      <c r="G16" s="47" t="s">
        <v>108</v>
      </c>
      <c r="H16" s="47" t="s">
        <v>112</v>
      </c>
      <c r="I16" s="33" t="s">
        <v>78</v>
      </c>
      <c r="J16" s="353">
        <v>0.1</v>
      </c>
      <c r="K16" s="34"/>
      <c r="L16" s="34"/>
      <c r="M16" s="34"/>
      <c r="N16" s="32"/>
      <c r="Q16" s="452" t="s">
        <v>566</v>
      </c>
      <c r="R16" s="451"/>
      <c r="S16" s="451"/>
      <c r="T16" s="451"/>
    </row>
    <row r="17" spans="1:16" x14ac:dyDescent="0.3">
      <c r="J17" s="354"/>
    </row>
    <row r="18" spans="1:16" x14ac:dyDescent="0.3">
      <c r="B18" s="92" t="s">
        <v>133</v>
      </c>
      <c r="J18" s="355" t="s">
        <v>560</v>
      </c>
      <c r="K18" s="356"/>
      <c r="L18" s="356"/>
      <c r="M18" s="356"/>
      <c r="N18" s="356"/>
      <c r="O18" s="356"/>
      <c r="P18" s="356"/>
    </row>
    <row r="19" spans="1:16" x14ac:dyDescent="0.3">
      <c r="B19" s="58" t="s">
        <v>304</v>
      </c>
      <c r="C19" s="4"/>
      <c r="D19" s="4"/>
      <c r="E19" s="4"/>
      <c r="F19" s="4"/>
      <c r="G19" s="4"/>
      <c r="H19" s="4"/>
      <c r="I19" s="4"/>
      <c r="J19" s="4"/>
      <c r="K19" s="4"/>
      <c r="L19" s="4"/>
      <c r="M19" s="4"/>
      <c r="N19" s="4"/>
    </row>
    <row r="20" spans="1:16" x14ac:dyDescent="0.3">
      <c r="B20" s="58" t="s">
        <v>305</v>
      </c>
    </row>
    <row r="21" spans="1:16" x14ac:dyDescent="0.3">
      <c r="B21" s="4" t="s">
        <v>309</v>
      </c>
    </row>
    <row r="22" spans="1:16" ht="17.25" x14ac:dyDescent="0.3">
      <c r="B22" s="4" t="s">
        <v>310</v>
      </c>
    </row>
    <row r="23" spans="1:16" x14ac:dyDescent="0.3">
      <c r="B23" s="4" t="s">
        <v>311</v>
      </c>
    </row>
    <row r="24" spans="1:16" ht="17.25" x14ac:dyDescent="0.3">
      <c r="B24" s="4" t="s">
        <v>312</v>
      </c>
    </row>
    <row r="25" spans="1:16" x14ac:dyDescent="0.3">
      <c r="B25" s="4" t="s">
        <v>448</v>
      </c>
    </row>
    <row r="26" spans="1:16" ht="15.75" thickBot="1" x14ac:dyDescent="0.35">
      <c r="A26" s="112" t="s">
        <v>242</v>
      </c>
      <c r="B26" s="113"/>
      <c r="C26" s="113"/>
      <c r="D26" s="113"/>
      <c r="E26" s="113"/>
      <c r="F26" s="113"/>
      <c r="G26" s="113"/>
      <c r="H26" s="113"/>
      <c r="I26" s="114"/>
    </row>
    <row r="27" spans="1:16" ht="108" customHeight="1" x14ac:dyDescent="0.3">
      <c r="A27" s="430" t="s">
        <v>447</v>
      </c>
      <c r="B27" s="430"/>
      <c r="C27" s="430"/>
      <c r="D27" s="430"/>
      <c r="E27" s="430"/>
      <c r="F27" s="430"/>
      <c r="G27" s="430"/>
      <c r="H27" s="430"/>
      <c r="I27" s="430"/>
    </row>
  </sheetData>
  <dataConsolidate/>
  <mergeCells count="9">
    <mergeCell ref="A3:A7"/>
    <mergeCell ref="A12:A16"/>
    <mergeCell ref="A27:I27"/>
    <mergeCell ref="Q12:T12"/>
    <mergeCell ref="Q13:T13"/>
    <mergeCell ref="Q14:T14"/>
    <mergeCell ref="Q15:T15"/>
    <mergeCell ref="Q16:T16"/>
    <mergeCell ref="Q11:T11"/>
  </mergeCells>
  <conditionalFormatting sqref="P3:T7">
    <cfRule type="cellIs" dxfId="22" priority="11" operator="greaterThanOrEqual">
      <formula>$T$2</formula>
    </cfRule>
    <cfRule type="cellIs" dxfId="21" priority="12" operator="greaterThanOrEqual">
      <formula>$S$2</formula>
    </cfRule>
    <cfRule type="cellIs" dxfId="20" priority="13" operator="greaterThanOrEqual">
      <formula>$R$2</formula>
    </cfRule>
    <cfRule type="cellIs" dxfId="19" priority="14" operator="greaterThanOrEqual">
      <formula>$Q$2</formula>
    </cfRule>
    <cfRule type="cellIs" dxfId="18" priority="15" operator="lessThan">
      <formula>$Q$2</formula>
    </cfRule>
  </conditionalFormatting>
  <conditionalFormatting sqref="V3:Z7">
    <cfRule type="cellIs" dxfId="17" priority="6" operator="greaterThanOrEqual">
      <formula>$Z$2</formula>
    </cfRule>
    <cfRule type="cellIs" dxfId="16" priority="7" operator="greaterThanOrEqual">
      <formula>$Y$2</formula>
    </cfRule>
    <cfRule type="cellIs" dxfId="15" priority="8" operator="greaterThanOrEqual">
      <formula>$X$2</formula>
    </cfRule>
    <cfRule type="cellIs" dxfId="14" priority="9" operator="greaterThanOrEqual">
      <formula>$W$2</formula>
    </cfRule>
    <cfRule type="cellIs" dxfId="13" priority="10" operator="lessThan">
      <formula>$W$2</formula>
    </cfRule>
  </conditionalFormatting>
  <conditionalFormatting sqref="AB3:AF7">
    <cfRule type="cellIs" dxfId="12" priority="1" operator="greaterThanOrEqual">
      <formula>$AF$2</formula>
    </cfRule>
    <cfRule type="cellIs" dxfId="11" priority="2" operator="greaterThanOrEqual">
      <formula>$AE$2</formula>
    </cfRule>
    <cfRule type="cellIs" dxfId="10" priority="3" operator="greaterThanOrEqual">
      <formula>$AD$2</formula>
    </cfRule>
    <cfRule type="cellIs" dxfId="9" priority="4" operator="greaterThanOrEqual">
      <formula>$AC$2</formula>
    </cfRule>
    <cfRule type="cellIs" dxfId="8" priority="5" operator="lessThan">
      <formula>$AC$2</formula>
    </cfRule>
  </conditionalFormatting>
  <dataValidations count="24">
    <dataValidation allowBlank="1" showInputMessage="1" showErrorMessage="1" promptTitle="Upper limit of PoF" prompt="Probability of failure; upper limit." sqref="E2"/>
    <dataValidation allowBlank="1" showInputMessage="1" showErrorMessage="1" promptTitle="Business effects (k€)" prompt="Upper limit on business effects." sqref="E11"/>
    <dataValidation allowBlank="1" showInputMessage="1" showErrorMessage="1" promptTitle="Probability of Failure" prompt="De laagste waarde (dus de kleinste kans) voor de POF wordt aangehouden met de laagste financiële waarde in een bereik._x000a_Deze tabel bevat dus de onderwaarde voor het risico." sqref="R1"/>
    <dataValidation allowBlank="1" showInputMessage="1" showErrorMessage="1" promptTitle="Probability of Failure" prompt="De hoogste waarde (dus de grootste kans) voor de POF wordt aangehouden met de hoogste financiële waarde in een bereik._x000a_Deze tabel bevat dus de bovengrens voor de waarde van het risico." sqref="X1"/>
    <dataValidation allowBlank="1" showInputMessage="1" showErrorMessage="1" promptTitle="Faalkans" prompt="Dit betreft de faalkans van een installatiedeel gedurende de hiervoor aangegeven tijd tot falen._x000a_Dit verondersteld dat het installatiedeel bijtijds wordt vervangen._x000a_Bij gebruik tot/met de levensduur is de tijdsgemiddelde faalkans 1/levensduur." sqref="D2"/>
    <dataValidation allowBlank="1" showInputMessage="1" showErrorMessage="1" promptTitle="MeanOperatingTimeBetweenFailure" prompt="MOTBF; Mean Operating Time Between Failure._x000a_Oftewel de gemiddelde tijd tussen het zich bij herhaling voor doen van een faalscenario._x000a_Door bijtijds te vervangen is de faalkans van toepassing." sqref="B2"/>
    <dataValidation allowBlank="1" showInputMessage="1" showErrorMessage="1" promptTitle="U_Limit (in jaren)" prompt="De onderste limiet in de grenzen, zoals genoemd bij de MOTBF._x000a_Dit kan in de operationele situatie beschouwd worden als de minimale restlevensduur op dát moment." sqref="C2"/>
    <dataValidation allowBlank="1" showInputMessage="1" showErrorMessage="1" promptTitle="Qualitative" prompt="De kwalitatieve omschrijving van de kans op het optreden van de bepaalde, ongewenste, gebeurtenis die bepalend is voor het aanwezige risico." sqref="F2"/>
    <dataValidation allowBlank="1" showInputMessage="1" showErrorMessage="1" promptTitle="Description:" prompt="De beschrijving van de wijze waarop vastgesteld kan worden of de waarschijnlijkheid van falen aanwezig is." sqref="G2"/>
    <dataValidation allowBlank="1" showInputMessage="1" showErrorMessage="1" promptTitle="Consequence based correction:" prompt="The correction factor for the inspection interval related to the consequences, as per legislative perspective._x000a_These factors are based on the PRdA 2.3, &quot;Reference instrument&quot;, Appendix 5B, with an add-on for &quot;very high&quot;/&quot;extreme&quot; failure consequences." sqref="J12:J16"/>
    <dataValidation allowBlank="1" showInputMessage="1" showErrorMessage="1" promptTitle="Consequence factor:" prompt="Very low, according to categories in table A5." sqref="I12"/>
    <dataValidation allowBlank="1" showInputMessage="1" showErrorMessage="1" promptTitle="Consequence factor:" prompt="Low, according to categories in table A5." sqref="I13"/>
    <dataValidation allowBlank="1" showInputMessage="1" showErrorMessage="1" promptTitle="Consequence factor:" prompt="Medium, according to categories in table A5." sqref="I14"/>
    <dataValidation allowBlank="1" showInputMessage="1" showErrorMessage="1" promptTitle="Consequence factor:" prompt="High, according to categories in table A5." sqref="I15"/>
    <dataValidation allowBlank="1" showInputMessage="1" showErrorMessage="1" promptTitle="Consequence factor:" prompt="Very high, according to categories in table A5." sqref="I16"/>
    <dataValidation allowBlank="1" showInputMessage="1" showErrorMessage="1" promptTitle="Faalkans klasse:" prompt="De klasse waarin de faalkans valt, gezien de toegepaste beoordelingscriteria." sqref="I4:I7"/>
    <dataValidation allowBlank="1" showInputMessage="1" showErrorMessage="1" promptTitle="De gevolg klasse:" prompt="De gevolgklasse die van toepassing is, gezien de toegepaste beoordelingscriteria voor de gevolgen van falen._x000a__x000a_Consequence factor: &quot;Very high&quot;" sqref="N8"/>
    <dataValidation allowBlank="1" showInputMessage="1" showErrorMessage="1" promptTitle="De gevolg klasse:" prompt="De gevolgklasse die van toepassing is, gezien de toegepaste beoordelingscriteria voor de gevolgen van falen._x000a__x000a_Consequence factor: &quot;Very low&quot;." sqref="J8"/>
    <dataValidation allowBlank="1" showInputMessage="1" showErrorMessage="1" promptTitle="De gevolg klasse:" prompt="De gevolgklasse die van toepassing is, gezien de toegepaste beoordelingscriteria voor de gevolgen van falen._x000a__x000a_Consequence factor: &quot;Low&quot;." sqref="K8"/>
    <dataValidation allowBlank="1" showInputMessage="1" showErrorMessage="1" promptTitle="De gevolg klasse:" prompt="De gevolgklasse die van toepassing is, gezien de toegepaste beoordelingscriteria voor de gevolgen van falen._x000a__x000a_Consequence factor: &quot;Medium&quot;" sqref="L8"/>
    <dataValidation allowBlank="1" showInputMessage="1" showErrorMessage="1" promptTitle="De gevolg klasse:" prompt="De gevolgklasse die van toepassing is, gezien de toegepaste beoordelingscriteria voor de gevolgen van falen._x000a__x000a_Consequence factor: &quot;High&quot; " sqref="M8"/>
    <dataValidation type="custom" showInputMessage="1" showErrorMessage="1" errorTitle="Nota bene:" error="De cel is beschermd tegen wijzigingen, om onbedoelde veranderingen uit te kunnen sluiten." promptTitle="Aktie met betrekking tot risico:" prompt="De benodigde aktie die noodzakelijk is om het aanwezige risico tot een acceptabel niveau terug te dringen." sqref="Q11:T16">
      <formula1>0</formula1>
    </dataValidation>
    <dataValidation allowBlank="1" showInputMessage="1" showErrorMessage="1" promptTitle="Faalkans klasse:" prompt="De klasse waarin de faalkans valt, gezien de toegepaste beoordelingscriteria._x000a__x000a_Voor het geval niet meer aan eisen wordt voldaan en daarmee sprake is van een faalsituatie, is categorie 6 toegevoegd." sqref="I2"/>
    <dataValidation allowBlank="1" showInputMessage="1" showErrorMessage="1" promptTitle="Faalkans klasse:" prompt="De klasse waarin de faalkans valt, gezien de toegepaste beoordelingscriteria._x000a__x000a_in geval sprake is van falen (er wordt niet meer voldaan aan eisen) kan categorie 6 worden toegepast. Dit werkt door als categorie 5." sqref="I3"/>
  </dataValidations>
  <pageMargins left="0.70866141732283472" right="0.70866141732283472" top="1.3385826771653544" bottom="0.74803149606299213" header="0.31496062992125984" footer="0.31496062992125984"/>
  <pageSetup paperSize="9" scale="43" orientation="landscape" r:id="rId1"/>
  <headerFooter>
    <oddHeader>&amp;L&amp;G&amp;RWorld Class Maintenance project: Risk Based CUI Management.</oddHeader>
    <oddFooter>&amp;L&amp;9File / Tab: &amp;F / &amp;A&amp;C&amp;9Printdatum: &amp;D&amp;R&amp;9Bladzijde &amp;P van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F0"/>
    <pageSetUpPr fitToPage="1"/>
  </sheetPr>
  <dimension ref="A1:K26"/>
  <sheetViews>
    <sheetView zoomScaleNormal="100" workbookViewId="0">
      <selection activeCell="C12" sqref="C12"/>
    </sheetView>
  </sheetViews>
  <sheetFormatPr defaultColWidth="0" defaultRowHeight="15" zeroHeight="1" x14ac:dyDescent="0.3"/>
  <cols>
    <col min="1" max="1" width="5.85546875" customWidth="1"/>
    <col min="2" max="2" width="22" customWidth="1"/>
    <col min="3" max="3" width="19.28515625" customWidth="1"/>
    <col min="4" max="4" width="23.140625" customWidth="1"/>
    <col min="5" max="5" width="14.140625" customWidth="1"/>
    <col min="6" max="6" width="11" customWidth="1"/>
    <col min="7" max="7" width="14.28515625" customWidth="1"/>
    <col min="8" max="10" width="9.140625" customWidth="1"/>
    <col min="11" max="11" width="27.42578125" customWidth="1"/>
    <col min="12" max="16384" width="9.140625" hidden="1"/>
  </cols>
  <sheetData>
    <row r="1" spans="1:10" x14ac:dyDescent="0.3">
      <c r="B1" s="48" t="s">
        <v>140</v>
      </c>
      <c r="D1" s="4"/>
      <c r="J1" s="48" t="s">
        <v>153</v>
      </c>
    </row>
    <row r="2" spans="1:10" x14ac:dyDescent="0.3">
      <c r="B2" s="11" t="s">
        <v>5</v>
      </c>
      <c r="C2" s="66" t="str">
        <f>IF(ISBLANK(Installatie!C7),"?",Installatie!C7)</f>
        <v>C-staal; gecoat</v>
      </c>
      <c r="D2" s="4" t="s">
        <v>265</v>
      </c>
      <c r="J2" s="4">
        <f>MATCH(C2,Materialen,0)</f>
        <v>3</v>
      </c>
    </row>
    <row r="3" spans="1:10" x14ac:dyDescent="0.3">
      <c r="B3" s="11" t="s">
        <v>138</v>
      </c>
      <c r="C3" s="286">
        <f>Installatie!C17</f>
        <v>50</v>
      </c>
      <c r="D3" s="4" t="s">
        <v>143</v>
      </c>
    </row>
    <row r="4" spans="1:10" x14ac:dyDescent="0.3">
      <c r="B4" s="11" t="s">
        <v>141</v>
      </c>
      <c r="C4" s="74">
        <f ca="1">(NOW()-Installatie!C20)/365</f>
        <v>32.234100210553009</v>
      </c>
      <c r="D4" s="4" t="s">
        <v>266</v>
      </c>
    </row>
    <row r="5" spans="1:10" x14ac:dyDescent="0.3">
      <c r="B5" s="11" t="s">
        <v>553</v>
      </c>
      <c r="C5" s="350" t="str">
        <f>CHOOSE(MATCH(C9,'Coating bescherming'!H16:K16,1),'Coating bescherming'!D16,'Coating bescherming'!E16,'Coating bescherming'!F16,'Coating bescherming'!G16)</f>
        <v>Zeer hoog</v>
      </c>
      <c r="D5" s="4" t="s">
        <v>142</v>
      </c>
    </row>
    <row r="6" spans="1:10" x14ac:dyDescent="0.3">
      <c r="B6" s="11" t="s">
        <v>139</v>
      </c>
      <c r="C6" s="69" t="str">
        <f>Installatie!C29</f>
        <v>3</v>
      </c>
      <c r="D6" s="4"/>
    </row>
    <row r="7" spans="1:10" x14ac:dyDescent="0.3">
      <c r="B7" s="11" t="s">
        <v>49</v>
      </c>
      <c r="C7" s="68" t="str">
        <f>Installatie!C31</f>
        <v>Gering</v>
      </c>
      <c r="D7" s="4" t="s">
        <v>157</v>
      </c>
    </row>
    <row r="8" spans="1:10" x14ac:dyDescent="0.3">
      <c r="B8" s="11" t="s">
        <v>149</v>
      </c>
      <c r="C8" s="73">
        <f>IF(C7="Geen",0,
IF(SkinTemp&lt;INDEX($E$17:$E$21,J2),0,
IF(SkinTemp&gt;=INDEX($H$17:$H$21,J2),0,
INDEX($F$17:$F$21,J2))))</f>
        <v>0.35</v>
      </c>
      <c r="D8" s="96" t="s">
        <v>264</v>
      </c>
      <c r="J8" s="4">
        <f>IF(SkinTemp&lt;=INDEX($E$17:$E$21,J2),0,
IF(SkinTemp&gt;=INDEX(H17:H21,J2),0,
INDEX(F17:F21,1)))</f>
        <v>0.35</v>
      </c>
    </row>
    <row r="9" spans="1:10" x14ac:dyDescent="0.3">
      <c r="B9" s="11" t="s">
        <v>171</v>
      </c>
      <c r="C9" s="72">
        <f>IFERROR(INDEX(G17:G21,J2),0)</f>
        <v>16.5</v>
      </c>
      <c r="D9" s="96" t="s">
        <v>173</v>
      </c>
      <c r="J9" s="4"/>
    </row>
    <row r="10" spans="1:10" x14ac:dyDescent="0.3">
      <c r="B10" s="11" t="s">
        <v>155</v>
      </c>
      <c r="C10" s="72">
        <f>IFERROR(IF(C8="SAO",C9,C9+CorrMarge/C8),"Onbeperkt")</f>
        <v>22.214285714285715</v>
      </c>
      <c r="D10" s="4" t="s">
        <v>156</v>
      </c>
    </row>
    <row r="11" spans="1:10" x14ac:dyDescent="0.3">
      <c r="B11" s="63" t="s">
        <v>158</v>
      </c>
      <c r="C11" s="129">
        <f ca="1">IFERROR(C10-Leeftijd,IF(C10="Onbeperkt",125,"?"))</f>
        <v>-10.019814496267294</v>
      </c>
      <c r="D11" s="4" t="s">
        <v>267</v>
      </c>
      <c r="E11" s="75"/>
    </row>
    <row r="12" spans="1:10" x14ac:dyDescent="0.3">
      <c r="B12" s="63" t="s">
        <v>159</v>
      </c>
      <c r="C12" s="76">
        <f ca="1">IF(C11="?","?",IFERROR(6-MATCH(C11,'NEN-EN 16991'!$C$3:$C$7,1),6))</f>
        <v>6</v>
      </c>
      <c r="D12" s="4" t="s">
        <v>559</v>
      </c>
    </row>
    <row r="13" spans="1:10" x14ac:dyDescent="0.3">
      <c r="B13" s="63" t="s">
        <v>558</v>
      </c>
      <c r="C13" s="129">
        <f ca="1">IFERROR(IF(C11&lt;=0,C11,C11*INDEX('NEN-EN 16991'!J12:J16,FaalGevolgCat)),"?")</f>
        <v>-10.019814496267294</v>
      </c>
      <c r="D13" s="4" t="s">
        <v>563</v>
      </c>
    </row>
    <row r="14" spans="1:10" x14ac:dyDescent="0.3"/>
    <row r="15" spans="1:10" x14ac:dyDescent="0.3">
      <c r="A15" s="339" t="s">
        <v>557</v>
      </c>
      <c r="B15" s="340"/>
      <c r="C15" s="340"/>
      <c r="D15" s="340"/>
      <c r="E15" s="340"/>
      <c r="F15" s="340"/>
      <c r="G15" s="340"/>
      <c r="H15" s="340"/>
      <c r="I15" s="340"/>
    </row>
    <row r="16" spans="1:10" ht="15.75" thickBot="1" x14ac:dyDescent="0.35">
      <c r="A16" s="6" t="s">
        <v>152</v>
      </c>
      <c r="B16" s="6" t="s">
        <v>5</v>
      </c>
      <c r="C16" s="6" t="s">
        <v>150</v>
      </c>
      <c r="D16" s="6" t="s">
        <v>145</v>
      </c>
      <c r="E16" s="6" t="s">
        <v>146</v>
      </c>
      <c r="F16" s="6" t="s">
        <v>147</v>
      </c>
      <c r="G16" s="95" t="s">
        <v>170</v>
      </c>
      <c r="H16" s="6" t="s">
        <v>148</v>
      </c>
      <c r="I16" s="6" t="s">
        <v>168</v>
      </c>
    </row>
    <row r="17" spans="1:11" x14ac:dyDescent="0.3">
      <c r="A17" s="11">
        <f>ROW()-ROW($A$16)</f>
        <v>1</v>
      </c>
      <c r="B17" s="4" t="s">
        <v>144</v>
      </c>
      <c r="C17" s="4" t="s">
        <v>151</v>
      </c>
      <c r="D17" s="4" t="s">
        <v>554</v>
      </c>
      <c r="E17" s="71">
        <v>-4</v>
      </c>
      <c r="F17" s="70">
        <f>CorrSnelh</f>
        <v>0.35</v>
      </c>
      <c r="G17" s="94">
        <v>0</v>
      </c>
      <c r="H17" s="71">
        <v>175</v>
      </c>
      <c r="I17" s="93" t="s">
        <v>561</v>
      </c>
    </row>
    <row r="18" spans="1:11" x14ac:dyDescent="0.3">
      <c r="A18" s="11">
        <f>ROW()-ROW($A$16)</f>
        <v>2</v>
      </c>
      <c r="B18" s="4" t="s">
        <v>172</v>
      </c>
      <c r="C18" s="4" t="s">
        <v>174</v>
      </c>
      <c r="D18" s="4" t="s">
        <v>556</v>
      </c>
      <c r="E18" s="71">
        <v>-4</v>
      </c>
      <c r="F18" s="70">
        <f>CorrSnelh</f>
        <v>0.35</v>
      </c>
      <c r="G18" s="94">
        <f>CoatLifetime*TSA_LTE</f>
        <v>28.875</v>
      </c>
      <c r="H18" s="71">
        <v>175</v>
      </c>
      <c r="I18" s="4" t="s">
        <v>562</v>
      </c>
    </row>
    <row r="19" spans="1:11" x14ac:dyDescent="0.3">
      <c r="A19" s="11">
        <f t="shared" ref="A19:A21" si="0">ROW()-ROW($A$16)</f>
        <v>3</v>
      </c>
      <c r="B19" s="4" t="s">
        <v>175</v>
      </c>
      <c r="C19" s="4" t="s">
        <v>169</v>
      </c>
      <c r="D19" s="4" t="s">
        <v>555</v>
      </c>
      <c r="E19" s="71">
        <v>-4</v>
      </c>
      <c r="F19" s="70">
        <f>CorrSnelh</f>
        <v>0.35</v>
      </c>
      <c r="G19" s="94">
        <f>CoatLifetime</f>
        <v>16.5</v>
      </c>
      <c r="H19" s="71">
        <v>175</v>
      </c>
      <c r="I19" s="93" t="s">
        <v>561</v>
      </c>
    </row>
    <row r="20" spans="1:11" x14ac:dyDescent="0.3">
      <c r="A20" s="11">
        <v>4</v>
      </c>
      <c r="B20" s="4" t="s">
        <v>567</v>
      </c>
      <c r="C20" s="4"/>
      <c r="D20" s="4" t="s">
        <v>554</v>
      </c>
      <c r="E20" s="71">
        <v>40</v>
      </c>
      <c r="F20" s="70" t="s">
        <v>569</v>
      </c>
      <c r="G20" s="94">
        <v>0</v>
      </c>
      <c r="H20" s="365">
        <v>10000</v>
      </c>
      <c r="I20" s="93" t="s">
        <v>561</v>
      </c>
    </row>
    <row r="21" spans="1:11" x14ac:dyDescent="0.3">
      <c r="A21" s="11">
        <f t="shared" si="0"/>
        <v>5</v>
      </c>
      <c r="B21" s="4" t="s">
        <v>568</v>
      </c>
      <c r="C21" s="4" t="s">
        <v>169</v>
      </c>
      <c r="D21" s="4" t="s">
        <v>579</v>
      </c>
      <c r="E21" s="71">
        <v>40</v>
      </c>
      <c r="F21" s="70" t="s">
        <v>569</v>
      </c>
      <c r="G21" s="94">
        <f>CoatLifetime</f>
        <v>16.5</v>
      </c>
      <c r="H21" s="365">
        <v>10000</v>
      </c>
      <c r="I21" s="93" t="s">
        <v>561</v>
      </c>
    </row>
    <row r="22" spans="1:11" x14ac:dyDescent="0.3">
      <c r="A22" s="97"/>
      <c r="B22" s="98" t="s">
        <v>178</v>
      </c>
      <c r="C22" s="97"/>
      <c r="D22" s="97"/>
      <c r="E22" s="97"/>
      <c r="F22" s="97"/>
      <c r="G22" s="97"/>
      <c r="H22" s="97"/>
      <c r="I22" s="97"/>
      <c r="J22" s="97"/>
      <c r="K22" s="97"/>
    </row>
    <row r="23" spans="1:11" x14ac:dyDescent="0.3"/>
    <row r="24" spans="1:11" x14ac:dyDescent="0.3"/>
    <row r="25" spans="1:11" ht="15.75" thickBot="1" x14ac:dyDescent="0.35">
      <c r="A25" s="112" t="s">
        <v>242</v>
      </c>
      <c r="B25" s="113"/>
      <c r="C25" s="113"/>
      <c r="D25" s="113"/>
      <c r="E25" s="113"/>
      <c r="F25" s="113"/>
      <c r="G25" s="113"/>
      <c r="H25" s="113"/>
      <c r="I25" s="113"/>
      <c r="J25" s="114"/>
    </row>
    <row r="26" spans="1:11" ht="167.25" customHeight="1" x14ac:dyDescent="0.3">
      <c r="A26" s="430" t="s">
        <v>541</v>
      </c>
      <c r="B26" s="430"/>
      <c r="C26" s="430"/>
      <c r="D26" s="430"/>
      <c r="E26" s="430"/>
      <c r="F26" s="430"/>
      <c r="G26" s="430"/>
      <c r="H26" s="430"/>
      <c r="I26" s="430"/>
      <c r="J26" s="456"/>
    </row>
  </sheetData>
  <mergeCells count="1">
    <mergeCell ref="A26:J26"/>
  </mergeCells>
  <dataValidations xWindow="648" yWindow="420" count="16">
    <dataValidation type="custom" showInputMessage="1" showErrorMessage="1" errorTitle="Beschermde cel" error="Deze cel is afgeschermd om de berekening correct te laten verlopen." sqref="J1 J3:J9">
      <formula1>0</formula1>
    </dataValidation>
    <dataValidation allowBlank="1" showInputMessage="1" showErrorMessage="1" promptTitle="Nul grens:" prompt="De ondergrens, waar beneden de degradatiesnelheid tot nul is gereduceerd." sqref="E16"/>
    <dataValidation allowBlank="1" showInputMessage="1" showErrorMessage="1" promptTitle="Het actieve gebied;" prompt="Het gebied waarin de degradatiesnelheid variabel is, met een bepaald gedrag zoals door de formule is weergegeven." sqref="F16"/>
    <dataValidation allowBlank="1" showInputMessage="1" showErrorMessage="1" promptTitle="De grens voor passief gedrag;" prompt="De temperatuur waarboven het materiaal als passief wordt geschouwd. Door direct afdampen van vocht is de degradatiesnelheid tot nul gereduceerd." sqref="H17:H21"/>
    <dataValidation allowBlank="1" showInputMessage="1" showErrorMessage="1" promptTitle="De latentie periode:" prompt="De periode gedurende welke het materiaal beschermd is door de aangebrachte coating, ondanks dat er inlek plaats vindt." sqref="G16"/>
    <dataValidation type="custom" showInputMessage="1" showErrorMessage="1" errorTitle="Nota bene" error="Gegevens zijn afgeschermd om onbedoelde wijziging te vermijden." sqref="B2:C2 C4 C6:C7 B3:B12 C9">
      <formula1>0</formula1>
    </dataValidation>
    <dataValidation type="list" errorStyle="information" allowBlank="1" showInputMessage="1" showErrorMessage="1" errorTitle="Opmerking;" error="De skintemperatuur kan in beperkte mate afwijken in de richting van &quot;ambient&quot; (opgevingstemperatuur)" promptTitle="Skin temperatuur:" prompt="Dit is de materiaal temperatuur._x000a_Deze verschilt in het algemeen van de procestemperatuur._x000a_Daarom wordt deze hier handmatig ingegeven._x000a_In geval er een specifiek model is voor de temperatuur afhankelijk van het soort object, kan die hier geplaatst worden." sqref="C3">
      <formula1>" =ProcessTemp, =ProcessTemp-10, =ProcessTemp-20,  =ProcessTemp-30, =ProcessTemp+10, =ProcessTemp+20, =ProcessTemp+30"</formula1>
    </dataValidation>
    <dataValidation type="custom" showInputMessage="1" showErrorMessage="1" errorTitle="Nota bene" error="Gegevens zijn afgeschermd om onbedoelde wijziging te vermijden." promptTitle="Degradatie snelheid:" prompt="De degradatiesnelheid zoals die van toepassing is binnen de gegeven temperatuur bandbreedte._x000a_Buiten de aanwezige bandbreedte wordt de snelheid op 0 gesteld middels de toegepaste formule." sqref="C8">
      <formula1>0</formula1>
    </dataValidation>
    <dataValidation showInputMessage="1" showErrorMessage="1" errorTitle="Nota bene" error="Gegevens zijn afgeschermd om onbedoelde wijziging te vermijden." promptTitle="Het Risk Based Inspectieinterval" prompt="In geval van negatieve waarden wordt de berekende termijn niet verkort. Het zou immers onwaarschijnlijk over kunnen komen dat er &quot;risk based&quot; een minder grote tijdsoverschrijding is dan zonder risico." sqref="B13"/>
    <dataValidation type="custom" showInputMessage="1" showErrorMessage="1" errorTitle="Nota bene" error="Gegevens zijn afgeschermd om onbedoelde wijziging te vermijden." promptTitle="Coating conditie:" prompt="De coating conditie zoals vastgesteld op basis van de coating gegevens op het tabblad [Coating bescherming]._x000a_Als daar een factor voor verminderde bescherming uit rolt, wordt die op deze plaats overgenomen in dit output veld." sqref="C5">
      <formula1>0</formula1>
    </dataValidation>
    <dataValidation type="custom" showInputMessage="1" showErrorMessage="1" sqref="D11:D13">
      <formula1>0</formula1>
    </dataValidation>
    <dataValidation type="custom" showInputMessage="1" showErrorMessage="1" errorTitle="Nota bene:" error="Gegevens zijn afgeschermd om onbedoelde wijziging te vermijden." sqref="C12">
      <formula1>0</formula1>
    </dataValidation>
    <dataValidation type="custom" showInputMessage="1" showErrorMessage="1" errorTitle="Nota bene:" error="Gegevens zijn afgeschermd om onbedoelde wijziging te vermijden." promptTitle="Inspectie interval." prompt="Het inspectie interval, gegeven de tijd tot normatief falen én de gevolgklasse van falen._x000a_De laatste vertaalt zich in een interval reductie, zoals afgeleid uit de reductiefactor volgens de praktijkregels voor drukapparatuur (PrdA 2.3; appendix 5B)." sqref="C13">
      <formula1>0</formula1>
    </dataValidation>
    <dataValidation type="custom" showInputMessage="1" showErrorMessage="1" errorTitle="Beschermde cel" error="Deze cel is afgeschermd om de berekening correct te laten verlopen." promptTitle="Rekenhulp" prompt="Dit is een rekenhulpje om te bepalen welke berekening van toepassing is." sqref="J2">
      <formula1>0</formula1>
    </dataValidation>
    <dataValidation type="custom" showInputMessage="1" showErrorMessage="1" errorTitle="Nota bene" error="Gegevens zijn afgeschermd om onbedoelde wijziging te vermijden." promptTitle="Tijd tot normatief falen:" prompt="De tijd waarbij met de aanwezige degradatiesnelheid de corrosiemarge door corrosie verbruikt kan zijn, rekening houden met al dan niet aanwezige coating." sqref="C10">
      <formula1>0</formula1>
    </dataValidation>
    <dataValidation showInputMessage="1" showErrorMessage="1" errorTitle="Nota bene" error="Gegevens zijn afgeschermd om onbedoelde wijziging te vermijden." promptTitle="Resterende tijd tot falen:" prompt="De begrootte tijd tot falen._x000a_Wanneer géén enkele aantasting wordt verwacht, is de tijd gelijk gesteld aan de maximale tijd uit de risicomatrix, zijnde 125 jaar." sqref="C11"/>
  </dataValidations>
  <hyperlinks>
    <hyperlink ref="I17" location="CorrosieModel!E44" display="CorrosieModel"/>
    <hyperlink ref="I19" location="CorrosieModel!E45" display="CorrosieModel"/>
    <hyperlink ref="I20" location="CorrosieModel!B57" display="CorrosieModel"/>
    <hyperlink ref="I21" location="CorrosieModel!B57" display="CorrosieModel"/>
  </hyperlinks>
  <pageMargins left="0.70866141732283472" right="0.70866141732283472" top="1.5354330708661419" bottom="0.74803149606299213" header="0.31496062992125984" footer="0.31496062992125984"/>
  <pageSetup paperSize="9" scale="85" orientation="landscape" r:id="rId1"/>
  <headerFooter>
    <oddHeader>&amp;L&amp;G&amp;RWorld Class Maintenance project: Risk Based CUI Management.</oddHeader>
    <oddFooter>&amp;L&amp;9File / Tab: &amp;F / &amp;A&amp;C&amp;9Printdatum: &amp;D&amp;R&amp;9Bladzijde &amp;P van &amp;N.</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F0"/>
    <outlinePr summaryBelow="0" summaryRight="0"/>
    <pageSetUpPr fitToPage="1"/>
  </sheetPr>
  <dimension ref="A1:K132"/>
  <sheetViews>
    <sheetView topLeftCell="A37" zoomScale="85" zoomScaleNormal="85" workbookViewId="0">
      <selection activeCell="C47" sqref="C47"/>
    </sheetView>
  </sheetViews>
  <sheetFormatPr defaultColWidth="0" defaultRowHeight="15" zeroHeight="1" outlineLevelRow="1" x14ac:dyDescent="0.3"/>
  <cols>
    <col min="1" max="1" width="17.140625" customWidth="1"/>
    <col min="2" max="2" width="16.85546875" customWidth="1"/>
    <col min="3" max="3" width="18.5703125" customWidth="1"/>
    <col min="4" max="10" width="11" customWidth="1"/>
    <col min="11" max="11" width="64.140625" customWidth="1"/>
    <col min="12" max="16384" width="9.140625" hidden="1"/>
  </cols>
  <sheetData>
    <row r="1" spans="1:4" ht="15.75" thickBot="1" x14ac:dyDescent="0.35">
      <c r="A1" s="165" t="s">
        <v>364</v>
      </c>
      <c r="B1" s="166"/>
      <c r="C1" s="166"/>
      <c r="D1" s="166"/>
    </row>
    <row r="2" spans="1:4" x14ac:dyDescent="0.3">
      <c r="A2" s="4" t="s">
        <v>365</v>
      </c>
    </row>
    <row r="3" spans="1:4" x14ac:dyDescent="0.3">
      <c r="A3" s="4" t="s">
        <v>366</v>
      </c>
    </row>
    <row r="4" spans="1:4" x14ac:dyDescent="0.3">
      <c r="A4" s="4" t="s">
        <v>367</v>
      </c>
    </row>
    <row r="5" spans="1:4" x14ac:dyDescent="0.3">
      <c r="A5" s="4" t="s">
        <v>368</v>
      </c>
    </row>
    <row r="6" spans="1:4" x14ac:dyDescent="0.3">
      <c r="A6" s="4" t="s">
        <v>369</v>
      </c>
    </row>
    <row r="7" spans="1:4" x14ac:dyDescent="0.3">
      <c r="A7" s="4" t="s">
        <v>370</v>
      </c>
    </row>
    <row r="8" spans="1:4" x14ac:dyDescent="0.3">
      <c r="A8" s="4" t="s">
        <v>371</v>
      </c>
    </row>
    <row r="9" spans="1:4" x14ac:dyDescent="0.3">
      <c r="A9" s="4"/>
    </row>
    <row r="10" spans="1:4" x14ac:dyDescent="0.3">
      <c r="A10" s="48" t="s">
        <v>372</v>
      </c>
    </row>
    <row r="11" spans="1:4" x14ac:dyDescent="0.3">
      <c r="A11" s="4" t="s">
        <v>373</v>
      </c>
    </row>
    <row r="12" spans="1:4" x14ac:dyDescent="0.3">
      <c r="A12" s="4" t="s">
        <v>374</v>
      </c>
    </row>
    <row r="13" spans="1:4" x14ac:dyDescent="0.3">
      <c r="A13" s="4" t="s">
        <v>375</v>
      </c>
    </row>
    <row r="14" spans="1:4" x14ac:dyDescent="0.3">
      <c r="A14" s="4" t="s">
        <v>376</v>
      </c>
    </row>
    <row r="15" spans="1:4" x14ac:dyDescent="0.3">
      <c r="A15" s="4" t="s">
        <v>377</v>
      </c>
    </row>
    <row r="16" spans="1:4" x14ac:dyDescent="0.3">
      <c r="A16" s="4" t="s">
        <v>378</v>
      </c>
    </row>
    <row r="17" spans="1:4" x14ac:dyDescent="0.3">
      <c r="A17" s="167" t="s">
        <v>379</v>
      </c>
    </row>
    <row r="18" spans="1:4" x14ac:dyDescent="0.3">
      <c r="A18" s="4" t="s">
        <v>380</v>
      </c>
    </row>
    <row r="19" spans="1:4" x14ac:dyDescent="0.3">
      <c r="A19" s="4" t="s">
        <v>381</v>
      </c>
    </row>
    <row r="20" spans="1:4" x14ac:dyDescent="0.3">
      <c r="A20" s="4" t="s">
        <v>382</v>
      </c>
    </row>
    <row r="21" spans="1:4" x14ac:dyDescent="0.3">
      <c r="A21" s="167" t="s">
        <v>383</v>
      </c>
    </row>
    <row r="22" spans="1:4" x14ac:dyDescent="0.3">
      <c r="A22" s="4" t="s">
        <v>384</v>
      </c>
    </row>
    <row r="23" spans="1:4" x14ac:dyDescent="0.3">
      <c r="A23" s="4" t="s">
        <v>385</v>
      </c>
    </row>
    <row r="24" spans="1:4" x14ac:dyDescent="0.3">
      <c r="A24" s="4" t="s">
        <v>386</v>
      </c>
    </row>
    <row r="25" spans="1:4" x14ac:dyDescent="0.3">
      <c r="A25" s="4" t="s">
        <v>387</v>
      </c>
    </row>
    <row r="26" spans="1:4" x14ac:dyDescent="0.3">
      <c r="A26" s="4" t="s">
        <v>388</v>
      </c>
    </row>
    <row r="27" spans="1:4" x14ac:dyDescent="0.3">
      <c r="A27" s="4" t="s">
        <v>389</v>
      </c>
    </row>
    <row r="28" spans="1:4" x14ac:dyDescent="0.3">
      <c r="A28" s="167" t="s">
        <v>390</v>
      </c>
    </row>
    <row r="29" spans="1:4" x14ac:dyDescent="0.3">
      <c r="A29" s="4" t="s">
        <v>391</v>
      </c>
    </row>
    <row r="30" spans="1:4" x14ac:dyDescent="0.3">
      <c r="A30" s="4" t="s">
        <v>392</v>
      </c>
    </row>
    <row r="31" spans="1:4" x14ac:dyDescent="0.3">
      <c r="A31" s="4"/>
    </row>
    <row r="32" spans="1:4" ht="15.75" thickBot="1" x14ac:dyDescent="0.35">
      <c r="A32" s="165" t="s">
        <v>393</v>
      </c>
      <c r="B32" s="166"/>
      <c r="C32" s="166"/>
      <c r="D32" s="166"/>
    </row>
    <row r="33" spans="1:11" x14ac:dyDescent="0.3">
      <c r="A33" s="4" t="s">
        <v>394</v>
      </c>
    </row>
    <row r="34" spans="1:11" x14ac:dyDescent="0.3">
      <c r="A34" s="4" t="s">
        <v>395</v>
      </c>
    </row>
    <row r="35" spans="1:11" x14ac:dyDescent="0.3">
      <c r="A35" s="4" t="s">
        <v>396</v>
      </c>
    </row>
    <row r="36" spans="1:11" x14ac:dyDescent="0.3">
      <c r="A36" s="4"/>
    </row>
    <row r="37" spans="1:11" ht="15.75" thickBot="1" x14ac:dyDescent="0.35">
      <c r="A37" s="165" t="s">
        <v>397</v>
      </c>
      <c r="B37" s="166"/>
      <c r="C37" s="166"/>
      <c r="D37" s="166"/>
    </row>
    <row r="38" spans="1:11" x14ac:dyDescent="0.3">
      <c r="A38" s="4" t="s">
        <v>398</v>
      </c>
    </row>
    <row r="39" spans="1:11" x14ac:dyDescent="0.3">
      <c r="A39" s="4"/>
    </row>
    <row r="40" spans="1:11" ht="15.75" thickBot="1" x14ac:dyDescent="0.35">
      <c r="A40" s="165" t="s">
        <v>399</v>
      </c>
      <c r="B40" s="166"/>
      <c r="C40" s="166"/>
      <c r="D40" s="166"/>
    </row>
    <row r="41" spans="1:11" x14ac:dyDescent="0.3">
      <c r="A41" s="4"/>
      <c r="B41" s="11" t="s">
        <v>138</v>
      </c>
      <c r="C41" s="168">
        <f>Installatie!C17</f>
        <v>50</v>
      </c>
      <c r="D41" s="169">
        <f>MATCH(C41,CorrTempBounds,1)</f>
        <v>4</v>
      </c>
    </row>
    <row r="42" spans="1:11" x14ac:dyDescent="0.3">
      <c r="B42" s="11" t="s">
        <v>400</v>
      </c>
      <c r="C42" s="170">
        <f>Installatie!C18</f>
        <v>100</v>
      </c>
      <c r="D42" s="171">
        <f>INDEX(NatDroogRiskMatrix,MATCH(C42,DroogNatWissel,1),D41)</f>
        <v>0.5</v>
      </c>
      <c r="E42" s="478" t="s">
        <v>572</v>
      </c>
      <c r="F42" s="479"/>
      <c r="G42" s="479"/>
      <c r="H42" s="479"/>
      <c r="I42" s="479"/>
      <c r="J42" s="479"/>
    </row>
    <row r="43" spans="1:11" ht="15.75" thickBot="1" x14ac:dyDescent="0.35">
      <c r="B43" s="11" t="s">
        <v>401</v>
      </c>
      <c r="C43" s="170" t="str">
        <f>Installatie!C19</f>
        <v>C4-C5-CX</v>
      </c>
      <c r="D43" s="172">
        <f>INDEX(ZoutRiskMatrix,MATCH(C43,ZoutRisico,0),D41)</f>
        <v>0.2</v>
      </c>
    </row>
    <row r="44" spans="1:11" ht="15.75" customHeight="1" thickBot="1" x14ac:dyDescent="0.35">
      <c r="B44" s="11" t="s">
        <v>402</v>
      </c>
      <c r="C44" s="12" t="str">
        <f>Installatie!C15</f>
        <v xml:space="preserve">Pyrogel XT over mineral wool </v>
      </c>
      <c r="D44" s="173">
        <f>IFERROR(INDEX(J72:J76,VLOOKUP(C44,B72:C78,2,FALSE)),1)</f>
        <v>0.5</v>
      </c>
      <c r="E44" s="174">
        <f>D44*SUM(D42:D43)</f>
        <v>0.35</v>
      </c>
    </row>
    <row r="45" spans="1:11" ht="15.75" customHeight="1" thickBot="1" x14ac:dyDescent="0.35">
      <c r="B45" s="11" t="s">
        <v>574</v>
      </c>
      <c r="C45" s="482" t="s">
        <v>577</v>
      </c>
      <c r="D45" s="483"/>
      <c r="E45" s="174" t="str">
        <f>INDEX(D58:E58,MATCH(C41,D57:E57))</f>
        <v>SAO</v>
      </c>
      <c r="F45" s="480" t="s">
        <v>573</v>
      </c>
      <c r="G45" s="481"/>
      <c r="H45" s="481"/>
      <c r="I45" s="481"/>
      <c r="J45" s="481"/>
    </row>
    <row r="46" spans="1:11" ht="15.75" thickBot="1" x14ac:dyDescent="0.35"/>
    <row r="47" spans="1:11" ht="31.5" outlineLevel="1" thickBot="1" x14ac:dyDescent="0.35">
      <c r="A47" s="175" t="s">
        <v>404</v>
      </c>
      <c r="B47" s="176" t="s">
        <v>285</v>
      </c>
      <c r="C47" s="177" t="s">
        <v>284</v>
      </c>
      <c r="D47" s="178">
        <v>-273</v>
      </c>
      <c r="E47" s="179">
        <v>-4</v>
      </c>
      <c r="F47" s="180">
        <v>10</v>
      </c>
      <c r="G47" s="179">
        <v>50</v>
      </c>
      <c r="H47" s="181">
        <v>80</v>
      </c>
      <c r="I47" s="180">
        <v>120</v>
      </c>
      <c r="J47" s="182">
        <v>175</v>
      </c>
      <c r="K47" s="242" t="s">
        <v>444</v>
      </c>
    </row>
    <row r="48" spans="1:11" outlineLevel="1" x14ac:dyDescent="0.3">
      <c r="B48" s="458" t="s">
        <v>144</v>
      </c>
      <c r="C48" s="183">
        <v>0</v>
      </c>
      <c r="D48" s="184">
        <v>0</v>
      </c>
      <c r="E48" s="185">
        <v>0.3</v>
      </c>
      <c r="F48" s="186">
        <v>0.1</v>
      </c>
      <c r="G48" s="185">
        <v>0.3</v>
      </c>
      <c r="H48" s="185">
        <v>0.3</v>
      </c>
      <c r="I48" s="186">
        <v>0.1</v>
      </c>
      <c r="J48" s="187">
        <v>0</v>
      </c>
    </row>
    <row r="49" spans="1:11" outlineLevel="1" x14ac:dyDescent="0.3">
      <c r="B49" s="459"/>
      <c r="C49" s="188">
        <v>10</v>
      </c>
      <c r="D49" s="189">
        <v>0</v>
      </c>
      <c r="E49" s="148">
        <v>0.3</v>
      </c>
      <c r="F49" s="148">
        <v>0.3</v>
      </c>
      <c r="G49" s="148">
        <v>0.3</v>
      </c>
      <c r="H49" s="190">
        <v>0.5</v>
      </c>
      <c r="I49" s="148">
        <v>0.3</v>
      </c>
      <c r="J49" s="191">
        <v>0</v>
      </c>
    </row>
    <row r="50" spans="1:11" ht="15.75" outlineLevel="1" thickBot="1" x14ac:dyDescent="0.35">
      <c r="B50" s="460"/>
      <c r="C50" s="192">
        <v>100</v>
      </c>
      <c r="D50" s="193">
        <v>0</v>
      </c>
      <c r="E50" s="194">
        <v>0.5</v>
      </c>
      <c r="F50" s="149">
        <v>0.3</v>
      </c>
      <c r="G50" s="194">
        <v>0.5</v>
      </c>
      <c r="H50" s="195">
        <v>0.7</v>
      </c>
      <c r="I50" s="149">
        <v>0.3</v>
      </c>
      <c r="J50" s="196">
        <v>0</v>
      </c>
    </row>
    <row r="51" spans="1:11" s="197" customFormat="1" ht="9" outlineLevel="1" thickBot="1" x14ac:dyDescent="0.2">
      <c r="C51" s="198"/>
      <c r="D51" s="199"/>
      <c r="E51" s="199"/>
      <c r="F51" s="199"/>
      <c r="G51" s="199"/>
      <c r="H51" s="199"/>
      <c r="I51" s="199"/>
      <c r="J51" s="200"/>
    </row>
    <row r="52" spans="1:11" ht="30.75" outlineLevel="1" thickBot="1" x14ac:dyDescent="0.35">
      <c r="B52" s="176" t="s">
        <v>290</v>
      </c>
      <c r="C52" s="177" t="s">
        <v>405</v>
      </c>
      <c r="D52" s="201">
        <v>-273</v>
      </c>
      <c r="E52" s="202">
        <v>-4</v>
      </c>
      <c r="F52" s="203">
        <v>10</v>
      </c>
      <c r="G52" s="202">
        <v>50</v>
      </c>
      <c r="H52" s="204">
        <v>80</v>
      </c>
      <c r="I52" s="203">
        <v>120</v>
      </c>
      <c r="J52" s="205">
        <v>175</v>
      </c>
    </row>
    <row r="53" spans="1:11" outlineLevel="1" x14ac:dyDescent="0.3">
      <c r="B53" s="206" t="s">
        <v>406</v>
      </c>
      <c r="C53" s="207" t="s">
        <v>289</v>
      </c>
      <c r="D53" s="208">
        <v>0</v>
      </c>
      <c r="E53" s="209">
        <v>0.1</v>
      </c>
      <c r="F53" s="210">
        <v>0</v>
      </c>
      <c r="G53" s="209">
        <v>0.1</v>
      </c>
      <c r="H53" s="209">
        <v>0.1</v>
      </c>
      <c r="I53" s="210">
        <v>0</v>
      </c>
      <c r="J53" s="211">
        <v>0</v>
      </c>
    </row>
    <row r="54" spans="1:11" outlineLevel="1" x14ac:dyDescent="0.3">
      <c r="B54" s="212" t="s">
        <v>407</v>
      </c>
      <c r="C54" s="213" t="s">
        <v>288</v>
      </c>
      <c r="D54" s="214">
        <v>0</v>
      </c>
      <c r="E54" s="215">
        <v>0.1</v>
      </c>
      <c r="F54" s="215">
        <v>0.1</v>
      </c>
      <c r="G54" s="215">
        <v>0.1</v>
      </c>
      <c r="H54" s="216">
        <v>0.2</v>
      </c>
      <c r="I54" s="215">
        <v>0.1</v>
      </c>
      <c r="J54" s="217">
        <v>0</v>
      </c>
    </row>
    <row r="55" spans="1:11" ht="15.75" outlineLevel="1" thickBot="1" x14ac:dyDescent="0.35">
      <c r="B55" s="218" t="s">
        <v>638</v>
      </c>
      <c r="C55" s="219" t="s">
        <v>287</v>
      </c>
      <c r="D55" s="220">
        <v>0</v>
      </c>
      <c r="E55" s="221">
        <v>0.2</v>
      </c>
      <c r="F55" s="222">
        <v>0.1</v>
      </c>
      <c r="G55" s="221">
        <v>0.2</v>
      </c>
      <c r="H55" s="223">
        <v>0.3</v>
      </c>
      <c r="I55" s="222">
        <v>0.1</v>
      </c>
      <c r="J55" s="224">
        <v>0</v>
      </c>
    </row>
    <row r="56" spans="1:11" ht="15.75" outlineLevel="1" thickBot="1" x14ac:dyDescent="0.35"/>
    <row r="57" spans="1:11" ht="31.5" outlineLevel="1" thickBot="1" x14ac:dyDescent="0.35">
      <c r="B57" s="176" t="s">
        <v>285</v>
      </c>
      <c r="C57" s="177" t="s">
        <v>284</v>
      </c>
      <c r="D57" s="178">
        <v>-273</v>
      </c>
      <c r="E57" s="181">
        <v>40</v>
      </c>
      <c r="F57" s="362"/>
      <c r="G57" s="362"/>
      <c r="H57" s="362"/>
      <c r="I57" s="362"/>
      <c r="J57" s="363"/>
      <c r="K57" s="477" t="s">
        <v>578</v>
      </c>
    </row>
    <row r="58" spans="1:11" outlineLevel="1" x14ac:dyDescent="0.3">
      <c r="B58" s="206" t="s">
        <v>571</v>
      </c>
      <c r="C58" s="183">
        <v>0</v>
      </c>
      <c r="D58" s="184">
        <v>0</v>
      </c>
      <c r="E58" s="364" t="s">
        <v>569</v>
      </c>
      <c r="F58" s="484" t="s">
        <v>576</v>
      </c>
      <c r="G58" s="485"/>
      <c r="H58" s="485"/>
      <c r="I58" s="485"/>
      <c r="J58" s="486"/>
      <c r="K58" s="477"/>
    </row>
    <row r="59" spans="1:11" ht="15.75" outlineLevel="1" thickBot="1" x14ac:dyDescent="0.35">
      <c r="B59" s="218" t="s">
        <v>570</v>
      </c>
      <c r="C59" s="192">
        <v>0</v>
      </c>
      <c r="D59" s="474" t="s">
        <v>575</v>
      </c>
      <c r="E59" s="475"/>
      <c r="F59" s="475"/>
      <c r="G59" s="475"/>
      <c r="H59" s="475"/>
      <c r="I59" s="475"/>
      <c r="J59" s="476"/>
      <c r="K59" s="477"/>
    </row>
    <row r="60" spans="1:11" outlineLevel="1" x14ac:dyDescent="0.3"/>
    <row r="61" spans="1:11" ht="15.75" thickBot="1" x14ac:dyDescent="0.35">
      <c r="A61" s="165" t="s">
        <v>408</v>
      </c>
      <c r="B61" s="166"/>
      <c r="C61" s="166"/>
      <c r="D61" s="166"/>
    </row>
    <row r="62" spans="1:11" x14ac:dyDescent="0.3">
      <c r="A62" s="4" t="s">
        <v>409</v>
      </c>
    </row>
    <row r="63" spans="1:11" x14ac:dyDescent="0.3">
      <c r="A63" s="4" t="s">
        <v>410</v>
      </c>
    </row>
    <row r="64" spans="1:11" x14ac:dyDescent="0.3">
      <c r="A64" s="4" t="s">
        <v>411</v>
      </c>
    </row>
    <row r="65" spans="1:10" x14ac:dyDescent="0.3">
      <c r="A65" s="4" t="s">
        <v>480</v>
      </c>
    </row>
    <row r="66" spans="1:10" x14ac:dyDescent="0.3">
      <c r="A66" s="4" t="s">
        <v>481</v>
      </c>
    </row>
    <row r="67" spans="1:10" x14ac:dyDescent="0.3">
      <c r="A67" s="4" t="s">
        <v>637</v>
      </c>
    </row>
    <row r="68" spans="1:10" x14ac:dyDescent="0.3">
      <c r="A68" s="4"/>
    </row>
    <row r="69" spans="1:10" x14ac:dyDescent="0.3">
      <c r="A69" s="4"/>
    </row>
    <row r="70" spans="1:10" outlineLevel="1" x14ac:dyDescent="0.3">
      <c r="A70" s="225"/>
      <c r="B70" s="226" t="s">
        <v>200</v>
      </c>
      <c r="C70" s="227" t="s">
        <v>412</v>
      </c>
      <c r="D70" s="225"/>
      <c r="E70" s="225"/>
      <c r="F70" s="225"/>
      <c r="G70" s="461" t="s">
        <v>413</v>
      </c>
      <c r="H70" s="462"/>
      <c r="I70" s="462"/>
      <c r="J70" s="462"/>
    </row>
    <row r="71" spans="1:10" ht="15.75" outlineLevel="1" thickBot="1" x14ac:dyDescent="0.35">
      <c r="B71" s="228" t="s">
        <v>414</v>
      </c>
      <c r="C71" s="463" t="s">
        <v>415</v>
      </c>
      <c r="D71" s="464"/>
      <c r="E71" s="464"/>
      <c r="G71" s="229"/>
      <c r="H71" s="230"/>
      <c r="I71" s="6" t="s">
        <v>16</v>
      </c>
      <c r="J71" s="6" t="s">
        <v>416</v>
      </c>
    </row>
    <row r="72" spans="1:10" ht="15" customHeight="1" outlineLevel="1" x14ac:dyDescent="0.3">
      <c r="B72" s="11" t="s">
        <v>330</v>
      </c>
      <c r="C72" s="4">
        <v>5</v>
      </c>
      <c r="D72" s="465" t="s">
        <v>417</v>
      </c>
      <c r="E72" s="466"/>
      <c r="G72" s="467" t="s">
        <v>418</v>
      </c>
      <c r="H72" s="457"/>
      <c r="I72" s="4">
        <v>1</v>
      </c>
      <c r="J72" s="231">
        <v>0.1</v>
      </c>
    </row>
    <row r="73" spans="1:10" outlineLevel="1" x14ac:dyDescent="0.3">
      <c r="B73" s="11" t="s">
        <v>419</v>
      </c>
      <c r="C73" s="232" t="s">
        <v>420</v>
      </c>
      <c r="D73" s="466"/>
      <c r="E73" s="466"/>
      <c r="G73" s="457"/>
      <c r="H73" s="457"/>
      <c r="I73" s="4">
        <v>2</v>
      </c>
      <c r="J73" s="231">
        <v>0.25</v>
      </c>
    </row>
    <row r="74" spans="1:10" outlineLevel="1" x14ac:dyDescent="0.3">
      <c r="B74" s="11" t="s">
        <v>421</v>
      </c>
      <c r="C74" s="4">
        <v>3</v>
      </c>
      <c r="D74" s="466"/>
      <c r="E74" s="466"/>
      <c r="G74" s="457"/>
      <c r="H74" s="457"/>
      <c r="I74" s="4">
        <v>3</v>
      </c>
      <c r="J74" s="231">
        <v>0.5</v>
      </c>
    </row>
    <row r="75" spans="1:10" outlineLevel="1" x14ac:dyDescent="0.3">
      <c r="B75" s="11" t="s">
        <v>331</v>
      </c>
      <c r="C75" s="4">
        <v>3</v>
      </c>
      <c r="D75" s="466"/>
      <c r="E75" s="466"/>
      <c r="G75" s="457"/>
      <c r="H75" s="457"/>
      <c r="I75" s="4">
        <v>4</v>
      </c>
      <c r="J75" s="231">
        <v>0.75</v>
      </c>
    </row>
    <row r="76" spans="1:10" outlineLevel="1" x14ac:dyDescent="0.3">
      <c r="B76" s="11" t="s">
        <v>422</v>
      </c>
      <c r="C76" s="4">
        <v>4</v>
      </c>
      <c r="D76" s="466"/>
      <c r="E76" s="466"/>
      <c r="G76" s="457"/>
      <c r="H76" s="457"/>
      <c r="I76" s="4">
        <v>5</v>
      </c>
      <c r="J76" s="231">
        <v>1</v>
      </c>
    </row>
    <row r="77" spans="1:10" outlineLevel="1" x14ac:dyDescent="0.3">
      <c r="B77" s="11" t="s">
        <v>423</v>
      </c>
      <c r="C77" s="4">
        <v>5</v>
      </c>
      <c r="D77" s="466"/>
      <c r="E77" s="466"/>
    </row>
    <row r="78" spans="1:10" outlineLevel="1" x14ac:dyDescent="0.3">
      <c r="B78" s="11" t="s">
        <v>403</v>
      </c>
      <c r="C78" s="4">
        <v>3</v>
      </c>
      <c r="D78" s="466"/>
      <c r="E78" s="466"/>
    </row>
    <row r="79" spans="1:10" outlineLevel="1" x14ac:dyDescent="0.3">
      <c r="B79" s="233"/>
      <c r="C79" s="234" t="s">
        <v>424</v>
      </c>
    </row>
    <row r="80" spans="1:10" outlineLevel="1" x14ac:dyDescent="0.3"/>
    <row r="81" spans="1:10" outlineLevel="1" x14ac:dyDescent="0.3"/>
    <row r="82" spans="1:10" ht="15.75" thickBot="1" x14ac:dyDescent="0.35">
      <c r="A82" s="468" t="s">
        <v>425</v>
      </c>
      <c r="B82" s="468"/>
      <c r="C82" s="468"/>
      <c r="D82" s="468"/>
      <c r="E82" s="468"/>
      <c r="F82" s="468"/>
      <c r="G82" s="468"/>
      <c r="H82" s="468"/>
      <c r="I82" s="468"/>
      <c r="J82" s="468"/>
    </row>
    <row r="83" spans="1:10" outlineLevel="1" x14ac:dyDescent="0.3">
      <c r="A83" s="48" t="s">
        <v>342</v>
      </c>
    </row>
    <row r="84" spans="1:10" outlineLevel="1" x14ac:dyDescent="0.3">
      <c r="A84" s="162" t="s">
        <v>329</v>
      </c>
    </row>
    <row r="85" spans="1:10" outlineLevel="1" x14ac:dyDescent="0.3">
      <c r="A85" s="162" t="s">
        <v>343</v>
      </c>
    </row>
    <row r="86" spans="1:10" outlineLevel="1" x14ac:dyDescent="0.3">
      <c r="A86" s="162" t="s">
        <v>330</v>
      </c>
    </row>
    <row r="87" spans="1:10" outlineLevel="1" x14ac:dyDescent="0.3">
      <c r="A87" s="162" t="s">
        <v>331</v>
      </c>
    </row>
    <row r="88" spans="1:10" outlineLevel="1" x14ac:dyDescent="0.3">
      <c r="A88" s="162" t="s">
        <v>332</v>
      </c>
    </row>
    <row r="89" spans="1:10" outlineLevel="1" x14ac:dyDescent="0.3">
      <c r="A89" s="162" t="s">
        <v>333</v>
      </c>
    </row>
    <row r="90" spans="1:10" outlineLevel="1" x14ac:dyDescent="0.3">
      <c r="A90" s="162" t="s">
        <v>334</v>
      </c>
    </row>
    <row r="91" spans="1:10" outlineLevel="1" x14ac:dyDescent="0.3">
      <c r="A91" s="162" t="s">
        <v>335</v>
      </c>
    </row>
    <row r="92" spans="1:10" outlineLevel="1" x14ac:dyDescent="0.3">
      <c r="A92" s="162" t="s">
        <v>336</v>
      </c>
    </row>
    <row r="93" spans="1:10" outlineLevel="1" x14ac:dyDescent="0.3">
      <c r="A93" s="162" t="s">
        <v>337</v>
      </c>
    </row>
    <row r="94" spans="1:10" outlineLevel="1" x14ac:dyDescent="0.3">
      <c r="A94" s="162" t="s">
        <v>338</v>
      </c>
    </row>
    <row r="95" spans="1:10" outlineLevel="1" x14ac:dyDescent="0.3">
      <c r="A95" s="162" t="s">
        <v>339</v>
      </c>
    </row>
    <row r="96" spans="1:10" outlineLevel="1" x14ac:dyDescent="0.3">
      <c r="A96" s="162" t="s">
        <v>340</v>
      </c>
    </row>
    <row r="97" spans="1:3" outlineLevel="1" x14ac:dyDescent="0.3">
      <c r="A97" s="162" t="s">
        <v>341</v>
      </c>
    </row>
    <row r="98" spans="1:3" outlineLevel="1" x14ac:dyDescent="0.3">
      <c r="A98" s="162"/>
    </row>
    <row r="99" spans="1:3" outlineLevel="1" x14ac:dyDescent="0.3">
      <c r="A99" s="48" t="s">
        <v>344</v>
      </c>
    </row>
    <row r="100" spans="1:3" outlineLevel="1" x14ac:dyDescent="0.3">
      <c r="A100" s="164" t="s">
        <v>345</v>
      </c>
    </row>
    <row r="101" spans="1:3" outlineLevel="1" x14ac:dyDescent="0.3">
      <c r="A101" s="163" t="s">
        <v>346</v>
      </c>
    </row>
    <row r="102" spans="1:3" outlineLevel="1" x14ac:dyDescent="0.3">
      <c r="A102" s="163" t="s">
        <v>347</v>
      </c>
    </row>
    <row r="103" spans="1:3" outlineLevel="1" x14ac:dyDescent="0.3">
      <c r="A103" s="163" t="s">
        <v>348</v>
      </c>
    </row>
    <row r="104" spans="1:3" outlineLevel="1" x14ac:dyDescent="0.3">
      <c r="A104" s="163" t="s">
        <v>349</v>
      </c>
    </row>
    <row r="105" spans="1:3" outlineLevel="1" x14ac:dyDescent="0.3">
      <c r="A105" s="163" t="s">
        <v>350</v>
      </c>
    </row>
    <row r="106" spans="1:3" outlineLevel="1" x14ac:dyDescent="0.3">
      <c r="A106" s="164" t="s">
        <v>351</v>
      </c>
    </row>
    <row r="107" spans="1:3" outlineLevel="1" x14ac:dyDescent="0.3">
      <c r="A107" s="163" t="s">
        <v>352</v>
      </c>
    </row>
    <row r="108" spans="1:3" outlineLevel="1" x14ac:dyDescent="0.3">
      <c r="A108" s="163" t="s">
        <v>353</v>
      </c>
    </row>
    <row r="109" spans="1:3" x14ac:dyDescent="0.3">
      <c r="A109" s="163"/>
    </row>
    <row r="110" spans="1:3" outlineLevel="1" x14ac:dyDescent="0.3">
      <c r="B110" s="5" t="s">
        <v>200</v>
      </c>
      <c r="C110" s="4" t="s">
        <v>291</v>
      </c>
    </row>
    <row r="111" spans="1:3" outlineLevel="1" x14ac:dyDescent="0.3">
      <c r="C111" s="4" t="s">
        <v>292</v>
      </c>
    </row>
    <row r="112" spans="1:3" ht="15.75" outlineLevel="1" thickBot="1" x14ac:dyDescent="0.35"/>
    <row r="113" spans="2:8" outlineLevel="1" x14ac:dyDescent="0.3">
      <c r="B113" s="5" t="s">
        <v>285</v>
      </c>
      <c r="C113" s="469" t="s">
        <v>275</v>
      </c>
      <c r="D113" s="140"/>
      <c r="E113" s="140"/>
      <c r="F113" s="136" t="s">
        <v>276</v>
      </c>
      <c r="G113" s="138" t="s">
        <v>278</v>
      </c>
      <c r="H113" s="471" t="s">
        <v>280</v>
      </c>
    </row>
    <row r="114" spans="2:8" ht="45.75" outlineLevel="1" thickBot="1" x14ac:dyDescent="0.35">
      <c r="C114" s="470"/>
      <c r="D114" s="141" t="s">
        <v>426</v>
      </c>
      <c r="E114" s="141" t="s">
        <v>427</v>
      </c>
      <c r="F114" s="137" t="s">
        <v>277</v>
      </c>
      <c r="G114" s="139" t="s">
        <v>279</v>
      </c>
      <c r="H114" s="472"/>
    </row>
    <row r="115" spans="2:8" ht="15.75" outlineLevel="1" thickBot="1" x14ac:dyDescent="0.35">
      <c r="C115" s="142" t="s">
        <v>281</v>
      </c>
      <c r="D115" s="235">
        <v>0</v>
      </c>
      <c r="E115" s="235">
        <v>0</v>
      </c>
      <c r="F115" s="143">
        <v>0.3</v>
      </c>
      <c r="G115" s="144">
        <v>0.5</v>
      </c>
      <c r="H115" s="145">
        <v>0.7</v>
      </c>
    </row>
    <row r="116" spans="2:8" ht="15.75" outlineLevel="1" thickBot="1" x14ac:dyDescent="0.35">
      <c r="C116" s="142" t="s">
        <v>282</v>
      </c>
      <c r="D116" s="235">
        <v>0</v>
      </c>
      <c r="E116" s="235">
        <v>0</v>
      </c>
      <c r="F116" s="143">
        <v>0.3</v>
      </c>
      <c r="G116" s="143">
        <v>0.3</v>
      </c>
      <c r="H116" s="144">
        <v>0.5</v>
      </c>
    </row>
    <row r="117" spans="2:8" ht="15.75" outlineLevel="1" thickBot="1" x14ac:dyDescent="0.35">
      <c r="C117" s="142" t="s">
        <v>283</v>
      </c>
      <c r="D117" s="235">
        <v>0</v>
      </c>
      <c r="E117" s="235">
        <v>0</v>
      </c>
      <c r="F117" s="146">
        <v>0.1</v>
      </c>
      <c r="G117" s="143">
        <v>0.3</v>
      </c>
      <c r="H117" s="143">
        <v>0.3</v>
      </c>
    </row>
    <row r="118" spans="2:8" ht="15.75" outlineLevel="1" thickBot="1" x14ac:dyDescent="0.35"/>
    <row r="119" spans="2:8" outlineLevel="1" x14ac:dyDescent="0.3">
      <c r="B119" s="5" t="s">
        <v>290</v>
      </c>
      <c r="C119" s="469" t="s">
        <v>286</v>
      </c>
      <c r="D119" s="140"/>
      <c r="E119" s="140"/>
      <c r="F119" s="140" t="s">
        <v>276</v>
      </c>
      <c r="G119" s="140" t="s">
        <v>278</v>
      </c>
      <c r="H119" s="469" t="s">
        <v>280</v>
      </c>
    </row>
    <row r="120" spans="2:8" ht="45.75" outlineLevel="1" thickBot="1" x14ac:dyDescent="0.35">
      <c r="C120" s="470"/>
      <c r="D120" s="141"/>
      <c r="E120" s="141"/>
      <c r="F120" s="141" t="s">
        <v>277</v>
      </c>
      <c r="G120" s="141" t="s">
        <v>279</v>
      </c>
      <c r="H120" s="470"/>
    </row>
    <row r="121" spans="2:8" ht="15.75" outlineLevel="1" thickBot="1" x14ac:dyDescent="0.35">
      <c r="B121" s="4" t="s">
        <v>638</v>
      </c>
      <c r="C121" s="147" t="s">
        <v>287</v>
      </c>
      <c r="D121" s="236">
        <v>0</v>
      </c>
      <c r="E121" s="236">
        <v>0</v>
      </c>
      <c r="F121" s="237">
        <v>0.1</v>
      </c>
      <c r="G121" s="238">
        <v>0.2</v>
      </c>
      <c r="H121" s="239">
        <v>0.3</v>
      </c>
    </row>
    <row r="122" spans="2:8" ht="15.75" outlineLevel="1" thickBot="1" x14ac:dyDescent="0.35">
      <c r="B122" s="4" t="s">
        <v>407</v>
      </c>
      <c r="C122" s="147" t="s">
        <v>288</v>
      </c>
      <c r="D122" s="236">
        <v>0</v>
      </c>
      <c r="E122" s="236">
        <v>0</v>
      </c>
      <c r="F122" s="237">
        <v>0.1</v>
      </c>
      <c r="G122" s="237">
        <v>0.1</v>
      </c>
      <c r="H122" s="238">
        <v>0.2</v>
      </c>
    </row>
    <row r="123" spans="2:8" ht="15.75" outlineLevel="1" thickBot="1" x14ac:dyDescent="0.35">
      <c r="B123" s="4" t="s">
        <v>406</v>
      </c>
      <c r="C123" s="147" t="s">
        <v>289</v>
      </c>
      <c r="D123" s="236">
        <v>0</v>
      </c>
      <c r="E123" s="236">
        <v>0</v>
      </c>
      <c r="F123" s="146">
        <v>0</v>
      </c>
      <c r="G123" s="237">
        <v>0.1</v>
      </c>
      <c r="H123" s="237">
        <v>0.1</v>
      </c>
    </row>
    <row r="124" spans="2:8" x14ac:dyDescent="0.3"/>
    <row r="125" spans="2:8" ht="15.75" outlineLevel="1" thickBot="1" x14ac:dyDescent="0.35">
      <c r="B125" s="6" t="s">
        <v>428</v>
      </c>
      <c r="C125" s="240" t="s">
        <v>429</v>
      </c>
      <c r="D125" s="473" t="s">
        <v>430</v>
      </c>
      <c r="E125" s="473"/>
      <c r="F125" s="473"/>
      <c r="G125" s="473"/>
      <c r="H125" s="473"/>
    </row>
    <row r="126" spans="2:8" outlineLevel="1" x14ac:dyDescent="0.3">
      <c r="B126" s="8" t="s">
        <v>431</v>
      </c>
      <c r="C126" s="241" t="s">
        <v>432</v>
      </c>
      <c r="D126" s="457" t="s">
        <v>433</v>
      </c>
      <c r="E126" s="457"/>
      <c r="F126" s="457"/>
      <c r="G126" s="457"/>
      <c r="H126" s="457"/>
    </row>
    <row r="127" spans="2:8" outlineLevel="1" x14ac:dyDescent="0.3">
      <c r="B127" s="8" t="s">
        <v>434</v>
      </c>
      <c r="C127" s="241" t="s">
        <v>435</v>
      </c>
      <c r="D127" s="457" t="s">
        <v>436</v>
      </c>
      <c r="E127" s="457"/>
      <c r="F127" s="457"/>
      <c r="G127" s="457"/>
      <c r="H127" s="457"/>
    </row>
    <row r="128" spans="2:8" ht="73.5" customHeight="1" outlineLevel="1" x14ac:dyDescent="0.3">
      <c r="B128" s="8" t="s">
        <v>407</v>
      </c>
      <c r="C128" s="241" t="s">
        <v>437</v>
      </c>
      <c r="D128" s="457" t="s">
        <v>438</v>
      </c>
      <c r="E128" s="457"/>
      <c r="F128" s="457"/>
      <c r="G128" s="457"/>
      <c r="H128" s="457"/>
    </row>
    <row r="129" spans="2:8" ht="60.75" customHeight="1" outlineLevel="1" x14ac:dyDescent="0.3">
      <c r="B129" s="8" t="s">
        <v>439</v>
      </c>
      <c r="C129" s="241" t="s">
        <v>440</v>
      </c>
      <c r="D129" s="457" t="s">
        <v>441</v>
      </c>
      <c r="E129" s="457"/>
      <c r="F129" s="457"/>
      <c r="G129" s="457"/>
      <c r="H129" s="457"/>
    </row>
    <row r="130" spans="2:8" ht="135.75" customHeight="1" outlineLevel="1" x14ac:dyDescent="0.3">
      <c r="B130" s="8" t="s">
        <v>634</v>
      </c>
      <c r="C130" s="241" t="s">
        <v>442</v>
      </c>
      <c r="D130" s="457" t="s">
        <v>443</v>
      </c>
      <c r="E130" s="457"/>
      <c r="F130" s="457"/>
      <c r="G130" s="457"/>
      <c r="H130" s="457"/>
    </row>
    <row r="131" spans="2:8" ht="79.5" customHeight="1" outlineLevel="1" x14ac:dyDescent="0.3">
      <c r="B131" s="8" t="s">
        <v>635</v>
      </c>
      <c r="C131" s="241" t="s">
        <v>636</v>
      </c>
      <c r="D131" s="457" t="s">
        <v>639</v>
      </c>
      <c r="E131" s="457"/>
      <c r="F131" s="457"/>
      <c r="G131" s="457"/>
      <c r="H131" s="457"/>
    </row>
    <row r="132" spans="2:8" x14ac:dyDescent="0.3"/>
  </sheetData>
  <mergeCells count="23">
    <mergeCell ref="K57:K59"/>
    <mergeCell ref="E42:J42"/>
    <mergeCell ref="F45:J45"/>
    <mergeCell ref="C45:D45"/>
    <mergeCell ref="F58:J58"/>
    <mergeCell ref="D127:H127"/>
    <mergeCell ref="D128:H128"/>
    <mergeCell ref="D129:H129"/>
    <mergeCell ref="D130:H130"/>
    <mergeCell ref="D131:H131"/>
    <mergeCell ref="D126:H126"/>
    <mergeCell ref="B48:B50"/>
    <mergeCell ref="G70:J70"/>
    <mergeCell ref="C71:E71"/>
    <mergeCell ref="D72:E78"/>
    <mergeCell ref="G72:H76"/>
    <mergeCell ref="A82:J82"/>
    <mergeCell ref="C113:C114"/>
    <mergeCell ref="H113:H114"/>
    <mergeCell ref="C119:C120"/>
    <mergeCell ref="H119:H120"/>
    <mergeCell ref="D125:H125"/>
    <mergeCell ref="D59:J59"/>
  </mergeCells>
  <conditionalFormatting sqref="D47:J55">
    <cfRule type="expression" dxfId="7" priority="4">
      <formula>IF(KleurJN="Nee",1,0)</formula>
    </cfRule>
  </conditionalFormatting>
  <conditionalFormatting sqref="D57:J57">
    <cfRule type="expression" dxfId="6" priority="3">
      <formula>IF(KleurJN="Nee",1,0)</formula>
    </cfRule>
  </conditionalFormatting>
  <conditionalFormatting sqref="D58:F58">
    <cfRule type="expression" dxfId="5" priority="2">
      <formula>IF(KleurJN="Nee",1,0)</formula>
    </cfRule>
  </conditionalFormatting>
  <dataValidations xWindow="554" yWindow="157" count="16">
    <dataValidation allowBlank="1" showInputMessage="1" showErrorMessage="1" promptTitle="[Zout] belasting:" prompt="De mate van belasting zoals veroorzaakt door de omgeving." sqref="C52"/>
    <dataValidation type="list" allowBlank="1" showInputMessage="1" showErrorMessage="1" promptTitle="Kleur weergave?" prompt="Selecteer hier of de tabel in kleur moet worden weergegeven." sqref="A47">
      <formula1>"Ja,Nee"</formula1>
    </dataValidation>
    <dataValidation type="custom" showInputMessage="1" showErrorMessage="1" errorTitle="Nota bene:" error="Het veld is afgeschermd om abusievelijke verandering van de berekening uit te sluiten." promptTitle="Berekend veld." prompt="Dit is een berekend veld._x000a_De gegevens worden uit de onderstaande tabel opgehaald met de hiernaast ingegeven waarden." sqref="E44 D41:D44">
      <formula1>0</formula1>
    </dataValidation>
    <dataValidation type="list" allowBlank="1" showInputMessage="1" showErrorMessage="1" promptTitle="Zout risico:" prompt="De invloed van de locale omstandigheden via de in de lucht aanwezige stoffen. Eea volgens de categorieën zoals die in de ISO 12944 worden onderscheiden." sqref="C43">
      <formula1>ZoutRisico</formula1>
    </dataValidation>
    <dataValidation type="custom" allowBlank="1" showInputMessage="1" showErrorMessage="1" errorTitle="Onmogelijke invoer!" error="Het aantal cycli kan niet negatief zijn!" promptTitle="Nat-droog cycli:" prompt="Het aantal cycli wat van toepassing is, waarbij condensatie op kan treden onder de isolatie. Uitgangspunt is dat er altijd (bijv. bij stops) een condensatie scenario mogelijk is; bij lage aantallen is de isolatie toestand maatgevend voor de faalkans." sqref="C42">
      <formula1>IF(C42&lt;0,0,1)</formula1>
    </dataValidation>
    <dataValidation type="custom" allowBlank="1" showInputMessage="1" showErrorMessage="1" errorTitle="Verkeerde temperatuur:" error="De temperatuur kan nooit lager zijn dan het absolute nulpunt (-273º Celcius)" sqref="C41">
      <formula1>IF(C41&lt;-273,0,1)</formula1>
    </dataValidation>
    <dataValidation type="list" errorStyle="information" allowBlank="1" showInputMessage="1" showErrorMessage="1" errorTitle="Afwijkende keuze" error="Van dit materiaal is het effect (nog) niet bekend._x000a_Er wordt géén reducerende werking op de corrosiesnelheid verondersteld!" promptTitle="Isolatie materiaal:" prompt="Kies het materiaal of geef zelf een materiaal in._x000a_Hier onbekende materialen resulteren in maximaal effect." sqref="C44">
      <formula1>IsolatieMateriaal</formula1>
    </dataValidation>
    <dataValidation allowBlank="1" showInputMessage="1" showErrorMessage="1" promptTitle="Nat-droog wisselingen:" prompt="Het aantal wisselingen per jaar, waarmee de isolatie wordt onderworpen aan een vochtbelasting gevolgd door een droogperiode._x000a_(er wordt vanuit gegaan dat inlek plaatsvindt)." sqref="C47 C57"/>
    <dataValidation type="list" allowBlank="1" showInputMessage="1" showErrorMessage="1" promptTitle="Optie in corrosie reductie:" prompt="De klasse voor de reductie in de corrosiesnelheid._x000a_1 is zeer goed, maximale reductie (vanuit praktijk bezien)_x000a_5 is zeer slecht (geen reductie)._x000a_Omgekeerd geldt 5 als stimulerend en 1 als beperkend." sqref="C72:C78">
      <formula1>$I$72:$I$76</formula1>
    </dataValidation>
    <dataValidation allowBlank="1" showInputMessage="1" showErrorMessage="1" promptTitle="Optie in corrosie reductie:" prompt="De klasse voor de reductie in de corrosiesnelheid._x000a_1 is zeer goed, maximale reductie (vanuit praktijk bezien)_x000a_5 is zeer slecht (geen reductie)." sqref="I71"/>
    <dataValidation allowBlank="1" showInputMessage="1" showErrorMessage="1" promptTitle="Expected corrosion damage." prompt="De classificatie van de reductie in de corrosiesnelheid in verhouding tot isolatie die vocht vasthoudt en langzaam uitdroogt en daardoor het corrosieproces in stand houdt." sqref="J71"/>
    <dataValidation allowBlank="1" showInputMessage="1" showErrorMessage="1" promptTitle="Weergegeven waarden:" prompt="De toename in de hierboven weergegeven corrosiesnelheid met de gegeven invloed uit de zout-risicomatrix." sqref="D53:J55"/>
    <dataValidation type="custom" showInputMessage="1" showErrorMessage="1" promptTitle="SAO StoringsAfhankelijkOnderhoud" prompt="In deze situatie geeft spanningscorrosie een onvoorspelbaar termijngedrag wat Storings Afhankelijk Onderhoud tot gevolg heeft._x000a_Beheersbaarheid kan verkregen worden door wijziging van de situatie (coating, materiaal) op basis van aanvullend onderzoek." sqref="F45:J45">
      <formula1>0</formula1>
    </dataValidation>
    <dataValidation type="custom" showInputMessage="1" showErrorMessage="1" errorTitle="Nota bene:" error="Het veld is afgeschermd om abusievelijke verandering van de berekening uit te sluiten." promptTitle="Berekend veld voor RVS." prompt="Dit is een berekend veld._x000a_De gegevens worden uit de onderstaande tabel opgehaald met de links hierboven ingegeven waarden." sqref="E45">
      <formula1>0</formula1>
    </dataValidation>
    <dataValidation type="custom" showInputMessage="1" showErrorMessage="1" promptTitle="Aantal droog-nat cycli" prompt="Ook bij hoge aantallen (&gt;100) droog-nat cycli geldt de toestand van de isolatie als relevant._x000a_Met andere woorden:_x000a_ook dan is het uitgangspunt dat een lekdichte isolatie (conditie &quot;zeer goed&quot; of &quot;goed&quot;) afdoende wordt geacht om corrosie te voorkomen." sqref="E42:J42">
      <formula1>0</formula1>
    </dataValidation>
    <dataValidation type="custom" allowBlank="1" showInputMessage="1" showErrorMessage="1" sqref="C45:D45">
      <formula1>0</formula1>
    </dataValidation>
  </dataValidations>
  <hyperlinks>
    <hyperlink ref="C70" r:id="rId1"/>
  </hyperlinks>
  <pageMargins left="0.70866141732283472" right="0.70866141732283472" top="1.5354330708661419" bottom="0.74803149606299213" header="0.31496062992125984" footer="0.31496062992125984"/>
  <pageSetup paperSize="9" scale="20" orientation="landscape" r:id="rId2"/>
  <headerFooter>
    <oddHeader>&amp;L&amp;G&amp;RWorld Class Maintenance project: Risk Based CUI Management.</oddHeader>
    <oddFooter>&amp;L&amp;9File / Tab: &amp;F / &amp;A&amp;C&amp;9Printdatum: &amp;D&amp;R&amp;9Bladzijde &amp;P van &amp;N.</oddFooter>
  </headerFooter>
  <drawing r:id="rId3"/>
  <legacyDrawing r:id="rId4"/>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pageSetUpPr fitToPage="1"/>
  </sheetPr>
  <dimension ref="A1:F25"/>
  <sheetViews>
    <sheetView zoomScale="115" zoomScaleNormal="115" workbookViewId="0">
      <selection activeCell="C11" sqref="C11"/>
    </sheetView>
  </sheetViews>
  <sheetFormatPr defaultColWidth="0" defaultRowHeight="15" zeroHeight="1" x14ac:dyDescent="0.3"/>
  <cols>
    <col min="1" max="1" width="9.140625" customWidth="1"/>
    <col min="2" max="2" width="16.140625" customWidth="1"/>
    <col min="3" max="3" width="18.7109375" customWidth="1"/>
    <col min="4" max="4" width="30.42578125" customWidth="1"/>
    <col min="5" max="5" width="21.5703125" customWidth="1"/>
    <col min="6" max="6" width="32.140625" customWidth="1"/>
    <col min="7" max="16384" width="9.140625" hidden="1"/>
  </cols>
  <sheetData>
    <row r="1" spans="1:6" x14ac:dyDescent="0.3">
      <c r="A1" s="48" t="s">
        <v>26</v>
      </c>
      <c r="B1" s="4"/>
      <c r="C1" s="4"/>
      <c r="D1" s="4"/>
      <c r="E1" s="4"/>
      <c r="F1" s="4"/>
    </row>
    <row r="2" spans="1:6" x14ac:dyDescent="0.3">
      <c r="A2" s="4"/>
      <c r="B2" s="152" t="s">
        <v>262</v>
      </c>
      <c r="C2" s="487" t="s">
        <v>263</v>
      </c>
      <c r="D2" s="487"/>
      <c r="E2" s="487"/>
      <c r="F2" s="487"/>
    </row>
    <row r="3" spans="1:6" x14ac:dyDescent="0.3">
      <c r="A3" s="4"/>
      <c r="B3" s="128"/>
      <c r="C3" s="487" t="s">
        <v>300</v>
      </c>
      <c r="D3" s="487"/>
      <c r="E3" s="487"/>
      <c r="F3" s="487"/>
    </row>
    <row r="4" spans="1:6" x14ac:dyDescent="0.3">
      <c r="A4" s="4"/>
      <c r="B4" s="9"/>
      <c r="C4" s="487" t="s">
        <v>328</v>
      </c>
      <c r="D4" s="487"/>
      <c r="E4" s="487"/>
      <c r="F4" s="487"/>
    </row>
    <row r="5" spans="1:6" x14ac:dyDescent="0.3">
      <c r="A5" s="4"/>
      <c r="B5" s="153" t="s">
        <v>293</v>
      </c>
      <c r="C5" s="488" t="s">
        <v>294</v>
      </c>
      <c r="D5" s="488"/>
      <c r="E5" s="488"/>
      <c r="F5" s="488"/>
    </row>
    <row r="6" spans="1:6" x14ac:dyDescent="0.3">
      <c r="A6" s="4"/>
      <c r="B6" s="9"/>
      <c r="C6" s="487" t="s">
        <v>301</v>
      </c>
      <c r="D6" s="487"/>
      <c r="E6" s="487"/>
      <c r="F6" s="487"/>
    </row>
    <row r="7" spans="1:6" ht="15.75" thickBot="1" x14ac:dyDescent="0.35">
      <c r="A7" s="6" t="s">
        <v>27</v>
      </c>
      <c r="B7" s="6" t="s">
        <v>7</v>
      </c>
      <c r="C7" s="6" t="s">
        <v>28</v>
      </c>
      <c r="D7" s="6" t="s">
        <v>17</v>
      </c>
      <c r="E7" s="6" t="s">
        <v>327</v>
      </c>
      <c r="F7" s="6" t="s">
        <v>29</v>
      </c>
    </row>
    <row r="8" spans="1:6" ht="70.5" customHeight="1" x14ac:dyDescent="0.3">
      <c r="A8" s="8">
        <v>0</v>
      </c>
      <c r="B8" s="8" t="s">
        <v>30</v>
      </c>
      <c r="C8" s="8" t="s">
        <v>298</v>
      </c>
      <c r="D8" s="8" t="s">
        <v>37</v>
      </c>
      <c r="E8" s="8" t="s">
        <v>355</v>
      </c>
      <c r="F8" s="4"/>
    </row>
    <row r="9" spans="1:6" ht="70.5" customHeight="1" x14ac:dyDescent="0.3">
      <c r="A9" s="8">
        <v>1</v>
      </c>
      <c r="B9" s="8" t="s">
        <v>31</v>
      </c>
      <c r="C9" s="8" t="s">
        <v>298</v>
      </c>
      <c r="D9" s="8" t="s">
        <v>38</v>
      </c>
      <c r="E9" s="8" t="s">
        <v>356</v>
      </c>
      <c r="F9" s="128"/>
    </row>
    <row r="10" spans="1:6" ht="70.5" customHeight="1" x14ac:dyDescent="0.3">
      <c r="A10" s="8">
        <v>2</v>
      </c>
      <c r="B10" s="8" t="s">
        <v>32</v>
      </c>
      <c r="C10" s="8" t="s">
        <v>298</v>
      </c>
      <c r="D10" s="8" t="s">
        <v>359</v>
      </c>
      <c r="E10" s="8" t="s">
        <v>357</v>
      </c>
      <c r="F10" s="150"/>
    </row>
    <row r="11" spans="1:6" ht="70.5" customHeight="1" x14ac:dyDescent="0.3">
      <c r="A11" s="8">
        <v>3</v>
      </c>
      <c r="B11" s="8" t="s">
        <v>33</v>
      </c>
      <c r="C11" s="8" t="s">
        <v>295</v>
      </c>
      <c r="D11" s="8" t="s">
        <v>360</v>
      </c>
      <c r="E11" s="8" t="s">
        <v>358</v>
      </c>
      <c r="F11" s="4"/>
    </row>
    <row r="12" spans="1:6" ht="70.5" customHeight="1" x14ac:dyDescent="0.3">
      <c r="A12" s="8">
        <v>4</v>
      </c>
      <c r="B12" s="8" t="s">
        <v>34</v>
      </c>
      <c r="C12" s="8" t="s">
        <v>296</v>
      </c>
      <c r="D12" s="8" t="s">
        <v>361</v>
      </c>
      <c r="E12" s="8" t="s">
        <v>325</v>
      </c>
      <c r="F12" s="151"/>
    </row>
    <row r="13" spans="1:6" ht="70.5" customHeight="1" x14ac:dyDescent="0.3">
      <c r="A13" s="8">
        <v>5</v>
      </c>
      <c r="B13" s="8" t="s">
        <v>35</v>
      </c>
      <c r="C13" s="8" t="s">
        <v>297</v>
      </c>
      <c r="D13" s="8" t="s">
        <v>363</v>
      </c>
      <c r="E13" s="8" t="s">
        <v>299</v>
      </c>
      <c r="F13" s="151"/>
    </row>
    <row r="14" spans="1:6" ht="70.5" customHeight="1" x14ac:dyDescent="0.3">
      <c r="A14" s="8">
        <v>6</v>
      </c>
      <c r="B14" s="8" t="s">
        <v>36</v>
      </c>
      <c r="C14" s="8" t="s">
        <v>354</v>
      </c>
      <c r="D14" s="8" t="s">
        <v>362</v>
      </c>
      <c r="E14" s="8" t="s">
        <v>326</v>
      </c>
      <c r="F14" s="128"/>
    </row>
    <row r="15" spans="1:6" hidden="1" x14ac:dyDescent="0.3">
      <c r="A15" s="4"/>
      <c r="B15" s="4"/>
      <c r="C15" s="4"/>
      <c r="D15" s="4"/>
      <c r="E15" s="4"/>
      <c r="F15" s="4"/>
    </row>
    <row r="16" spans="1:6" hidden="1" x14ac:dyDescent="0.3">
      <c r="A16" s="4"/>
      <c r="B16" s="4"/>
      <c r="C16" s="4"/>
      <c r="D16" s="4"/>
      <c r="E16" s="4"/>
      <c r="F16" s="4"/>
    </row>
    <row r="17" spans="1:6" hidden="1" x14ac:dyDescent="0.3">
      <c r="A17" s="4"/>
      <c r="B17" s="4"/>
      <c r="C17" s="4"/>
      <c r="D17" s="4"/>
      <c r="E17" s="4"/>
      <c r="F17" s="4"/>
    </row>
    <row r="18" spans="1:6" hidden="1" x14ac:dyDescent="0.3">
      <c r="A18" s="4"/>
      <c r="B18" s="4"/>
      <c r="C18" s="4"/>
      <c r="D18" s="4"/>
      <c r="E18" s="4"/>
      <c r="F18" s="4"/>
    </row>
    <row r="19" spans="1:6" hidden="1" x14ac:dyDescent="0.3">
      <c r="A19" s="4"/>
      <c r="B19" s="4"/>
      <c r="C19" s="4"/>
      <c r="D19" s="4"/>
      <c r="E19" s="4"/>
      <c r="F19" s="4"/>
    </row>
    <row r="20" spans="1:6" hidden="1" x14ac:dyDescent="0.3">
      <c r="A20" s="4"/>
      <c r="B20" s="4"/>
      <c r="C20" s="4"/>
      <c r="D20" s="4"/>
      <c r="E20" s="4"/>
      <c r="F20" s="4"/>
    </row>
    <row r="21" spans="1:6" hidden="1" x14ac:dyDescent="0.3">
      <c r="A21" s="4"/>
      <c r="B21" s="4"/>
      <c r="C21" s="4"/>
      <c r="D21" s="4"/>
      <c r="E21" s="4"/>
      <c r="F21" s="4"/>
    </row>
    <row r="22" spans="1:6" hidden="1" x14ac:dyDescent="0.3">
      <c r="A22" s="4"/>
      <c r="B22" s="4"/>
      <c r="C22" s="4"/>
      <c r="D22" s="4"/>
      <c r="E22" s="4"/>
      <c r="F22" s="4"/>
    </row>
    <row r="23" spans="1:6" hidden="1" x14ac:dyDescent="0.3">
      <c r="A23" s="4"/>
      <c r="B23" s="4"/>
      <c r="C23" s="4"/>
      <c r="D23" s="4"/>
      <c r="E23" s="4"/>
      <c r="F23" s="4"/>
    </row>
    <row r="24" spans="1:6" hidden="1" x14ac:dyDescent="0.3">
      <c r="A24" s="4"/>
      <c r="B24" s="4"/>
      <c r="C24" s="4"/>
      <c r="D24" s="4"/>
      <c r="E24" s="4"/>
      <c r="F24" s="4"/>
    </row>
    <row r="25" spans="1:6" x14ac:dyDescent="0.3"/>
  </sheetData>
  <mergeCells count="5">
    <mergeCell ref="C2:F2"/>
    <mergeCell ref="C4:F4"/>
    <mergeCell ref="C5:F5"/>
    <mergeCell ref="C3:F3"/>
    <mergeCell ref="C6:F6"/>
  </mergeCells>
  <pageMargins left="0.70866141732283472" right="0.70866141732283472" top="1.3385826771653544" bottom="0.74803149606299213" header="0.31496062992125984" footer="0.31496062992125984"/>
  <pageSetup paperSize="9" scale="72" orientation="portrait" r:id="rId1"/>
  <headerFooter>
    <oddHeader>&amp;L&amp;G&amp;RWorld Class Maintenance project: Risk Based CUI Management.</oddHeader>
    <oddFooter>&amp;L&amp;9File / Tab: &amp;F / &amp;A&amp;C&amp;9Printdatum: &amp;D&amp;R&amp;9Bladzijde &amp;P van &amp;N.</oddFooter>
  </headerFooter>
  <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66FF33"/>
    <pageSetUpPr fitToPage="1"/>
  </sheetPr>
  <dimension ref="A1:O34"/>
  <sheetViews>
    <sheetView topLeftCell="A4" zoomScale="85" zoomScaleNormal="85" workbookViewId="0">
      <selection activeCell="E7" sqref="E7"/>
    </sheetView>
  </sheetViews>
  <sheetFormatPr defaultColWidth="0" defaultRowHeight="15" zeroHeight="1" x14ac:dyDescent="0.3"/>
  <cols>
    <col min="1" max="1" width="24.42578125" customWidth="1"/>
    <col min="2" max="2" width="33.7109375" customWidth="1"/>
    <col min="3" max="3" width="16.28515625" customWidth="1"/>
    <col min="4" max="4" width="18.5703125" customWidth="1"/>
    <col min="5" max="5" width="35" customWidth="1"/>
    <col min="6" max="6" width="12.42578125" customWidth="1"/>
    <col min="7" max="7" width="17.85546875" customWidth="1"/>
    <col min="8" max="9" width="15.140625" customWidth="1"/>
    <col min="10" max="10" width="18" customWidth="1"/>
    <col min="11" max="11" width="15.5703125" customWidth="1"/>
    <col min="12" max="12" width="11.28515625" customWidth="1"/>
    <col min="13" max="13" width="19.85546875" customWidth="1"/>
    <col min="14" max="14" width="58.5703125" customWidth="1"/>
    <col min="15" max="15" width="59.85546875" customWidth="1"/>
    <col min="16" max="16384" width="9.140625" hidden="1"/>
  </cols>
  <sheetData>
    <row r="1" spans="1:14" x14ac:dyDescent="0.3">
      <c r="H1" t="s">
        <v>252</v>
      </c>
    </row>
    <row r="2" spans="1:14" x14ac:dyDescent="0.3">
      <c r="A2" s="48" t="s">
        <v>549</v>
      </c>
      <c r="H2" s="118">
        <v>1</v>
      </c>
      <c r="I2" s="4" t="s">
        <v>253</v>
      </c>
      <c r="J2" s="118"/>
      <c r="K2" s="118"/>
    </row>
    <row r="3" spans="1:14" x14ac:dyDescent="0.3">
      <c r="A3" s="4" t="s">
        <v>180</v>
      </c>
      <c r="H3" s="118">
        <v>2</v>
      </c>
      <c r="I3" s="4" t="s">
        <v>254</v>
      </c>
      <c r="J3" s="118"/>
      <c r="K3" s="118"/>
    </row>
    <row r="4" spans="1:14" x14ac:dyDescent="0.3">
      <c r="A4" s="4" t="s">
        <v>539</v>
      </c>
      <c r="H4" s="118">
        <v>3</v>
      </c>
      <c r="I4" s="4" t="s">
        <v>255</v>
      </c>
      <c r="J4" s="118"/>
      <c r="K4" s="118"/>
    </row>
    <row r="5" spans="1:14" x14ac:dyDescent="0.3">
      <c r="A5" s="4" t="s">
        <v>181</v>
      </c>
      <c r="H5" s="118">
        <v>4</v>
      </c>
      <c r="I5" s="4" t="s">
        <v>256</v>
      </c>
      <c r="J5" s="118"/>
      <c r="K5" s="118"/>
    </row>
    <row r="6" spans="1:14" x14ac:dyDescent="0.3">
      <c r="A6" s="4" t="s">
        <v>540</v>
      </c>
      <c r="H6" s="122" t="s">
        <v>259</v>
      </c>
      <c r="I6" s="4" t="s">
        <v>257</v>
      </c>
      <c r="J6" s="122"/>
      <c r="K6" s="122"/>
    </row>
    <row r="7" spans="1:14" x14ac:dyDescent="0.3">
      <c r="A7" s="4" t="s">
        <v>182</v>
      </c>
      <c r="H7" s="122" t="s">
        <v>260</v>
      </c>
      <c r="I7" s="4" t="s">
        <v>258</v>
      </c>
      <c r="J7" s="122"/>
      <c r="K7" s="122"/>
    </row>
    <row r="8" spans="1:14" x14ac:dyDescent="0.3"/>
    <row r="9" spans="1:14" ht="33.75" customHeight="1" thickBot="1" x14ac:dyDescent="0.35">
      <c r="A9" s="120" t="s">
        <v>535</v>
      </c>
      <c r="B9" s="6" t="s">
        <v>518</v>
      </c>
      <c r="C9" s="6"/>
      <c r="D9" s="492" t="s">
        <v>537</v>
      </c>
      <c r="E9" s="493"/>
      <c r="F9" s="493"/>
      <c r="G9" s="494"/>
      <c r="H9" s="492" t="s">
        <v>536</v>
      </c>
      <c r="I9" s="493"/>
      <c r="J9" s="493"/>
      <c r="K9" s="494"/>
      <c r="L9" s="320" t="s">
        <v>293</v>
      </c>
      <c r="M9" s="229"/>
      <c r="N9" s="229"/>
    </row>
    <row r="10" spans="1:14" x14ac:dyDescent="0.3">
      <c r="A10" s="379" t="s">
        <v>602</v>
      </c>
      <c r="B10" s="380" t="s">
        <v>603</v>
      </c>
      <c r="D10" s="381" t="s">
        <v>603</v>
      </c>
      <c r="E10" s="382" t="s">
        <v>174</v>
      </c>
      <c r="F10" s="319"/>
      <c r="G10" s="322"/>
      <c r="H10" s="377"/>
      <c r="I10" s="319"/>
      <c r="J10" s="319"/>
      <c r="K10" s="322"/>
      <c r="L10" s="376"/>
      <c r="M10" s="378"/>
      <c r="N10" s="378"/>
    </row>
    <row r="11" spans="1:14" x14ac:dyDescent="0.3">
      <c r="A11" s="379" t="s">
        <v>261</v>
      </c>
      <c r="B11" s="315" t="s">
        <v>522</v>
      </c>
      <c r="D11" s="321" t="s">
        <v>520</v>
      </c>
      <c r="E11" s="319" t="s">
        <v>521</v>
      </c>
      <c r="F11" s="319" t="s">
        <v>522</v>
      </c>
      <c r="G11" s="322"/>
      <c r="H11" s="323">
        <v>0.05</v>
      </c>
      <c r="I11" s="324">
        <v>0.3</v>
      </c>
      <c r="J11" s="324">
        <v>0.5</v>
      </c>
      <c r="K11" s="325"/>
      <c r="L11" s="4"/>
    </row>
    <row r="12" spans="1:14" x14ac:dyDescent="0.3">
      <c r="A12" s="379" t="s">
        <v>543</v>
      </c>
      <c r="B12" s="315" t="s">
        <v>524</v>
      </c>
      <c r="D12" s="321" t="s">
        <v>524</v>
      </c>
      <c r="E12" s="319" t="s">
        <v>523</v>
      </c>
      <c r="F12" s="319"/>
      <c r="G12" s="322"/>
      <c r="H12" s="323">
        <v>0.9</v>
      </c>
      <c r="I12" s="324">
        <v>0.5</v>
      </c>
      <c r="J12" s="324"/>
      <c r="K12" s="325"/>
      <c r="L12" s="4" t="s">
        <v>525</v>
      </c>
    </row>
    <row r="13" spans="1:14" x14ac:dyDescent="0.3">
      <c r="A13" s="379" t="s">
        <v>544</v>
      </c>
      <c r="B13" s="12" t="s">
        <v>526</v>
      </c>
      <c r="D13" s="321" t="s">
        <v>526</v>
      </c>
      <c r="E13" s="319" t="s">
        <v>527</v>
      </c>
      <c r="F13" s="319" t="s">
        <v>528</v>
      </c>
      <c r="G13" s="322"/>
      <c r="H13" s="323">
        <v>0.05</v>
      </c>
      <c r="I13" s="324">
        <v>0.75</v>
      </c>
      <c r="J13" s="324">
        <v>0.9</v>
      </c>
      <c r="K13" s="325"/>
      <c r="L13" s="4"/>
    </row>
    <row r="14" spans="1:14" x14ac:dyDescent="0.3">
      <c r="A14" s="379" t="s">
        <v>604</v>
      </c>
      <c r="B14" s="12" t="s">
        <v>526</v>
      </c>
      <c r="D14" s="321" t="s">
        <v>526</v>
      </c>
      <c r="E14" s="319" t="s">
        <v>529</v>
      </c>
      <c r="F14" s="319" t="s">
        <v>507</v>
      </c>
      <c r="G14" s="322" t="s">
        <v>530</v>
      </c>
      <c r="H14" s="323">
        <v>0.1</v>
      </c>
      <c r="I14" s="324">
        <v>0.5</v>
      </c>
      <c r="J14" s="324">
        <v>0.25</v>
      </c>
      <c r="K14" s="325">
        <v>0.9</v>
      </c>
      <c r="L14" s="4"/>
    </row>
    <row r="15" spans="1:14" x14ac:dyDescent="0.3">
      <c r="A15" s="379" t="s">
        <v>6</v>
      </c>
      <c r="B15" s="12" t="s">
        <v>501</v>
      </c>
      <c r="D15" s="321" t="s">
        <v>532</v>
      </c>
      <c r="E15" s="319" t="s">
        <v>501</v>
      </c>
      <c r="F15" s="319" t="s">
        <v>508</v>
      </c>
      <c r="G15" s="322" t="s">
        <v>533</v>
      </c>
      <c r="H15" s="323">
        <v>0.1</v>
      </c>
      <c r="I15" s="316">
        <f>IFERROR(INDEX(CoatGenScore,MATCH(B12,CoatGen,0)),I12)</f>
        <v>0.9</v>
      </c>
      <c r="J15" s="324">
        <v>0.25</v>
      </c>
      <c r="K15" s="325">
        <v>0.9</v>
      </c>
      <c r="L15" s="4"/>
    </row>
    <row r="16" spans="1:14" x14ac:dyDescent="0.3">
      <c r="A16" s="379" t="s">
        <v>605</v>
      </c>
      <c r="B16" s="116" t="str">
        <f>CHOOSE(MATCH(C18,H16:K16,1),D16,E16,F16,G16)</f>
        <v>Hoog</v>
      </c>
      <c r="D16" s="345" t="s">
        <v>435</v>
      </c>
      <c r="E16" s="346" t="s">
        <v>552</v>
      </c>
      <c r="F16" s="346" t="s">
        <v>440</v>
      </c>
      <c r="G16" s="347" t="s">
        <v>442</v>
      </c>
      <c r="H16" s="342">
        <v>0</v>
      </c>
      <c r="I16" s="343">
        <v>5</v>
      </c>
      <c r="J16" s="343">
        <v>8</v>
      </c>
      <c r="K16" s="344">
        <v>15</v>
      </c>
      <c r="L16" s="348" t="s">
        <v>551</v>
      </c>
      <c r="M16" s="349"/>
      <c r="N16" s="349"/>
    </row>
    <row r="17" spans="1:14" x14ac:dyDescent="0.3">
      <c r="B17" s="5" t="s">
        <v>519</v>
      </c>
      <c r="C17" s="100">
        <f>(IFERROR(INDEX(CoatProdScor,MATCH(B11,CoatProd,0)),J11)+
IFERROR(INDEX(CoatOntwScor,MATCH(B13,CoatOntw,0)),J13)+
IFERROR(INDEX(CoatProcScor,MATCH(B14,CoatProc,0)),K14)+
IFERROR(INDEX(CoatIsolScor,MATCH(B15,CoatIsol,0)),K15))/4</f>
        <v>0.38750000000000001</v>
      </c>
    </row>
    <row r="18" spans="1:14" x14ac:dyDescent="0.3">
      <c r="A18" s="317" t="s">
        <v>534</v>
      </c>
      <c r="B18" s="425">
        <v>20</v>
      </c>
      <c r="C18" s="318">
        <f>IF(B10="TSA",B19,1)*(1-C17)*CoatRefLT</f>
        <v>12.25</v>
      </c>
    </row>
    <row r="19" spans="1:14" x14ac:dyDescent="0.3">
      <c r="A19" s="317" t="s">
        <v>606</v>
      </c>
      <c r="B19" s="426">
        <f>35/20</f>
        <v>1.75</v>
      </c>
    </row>
    <row r="20" spans="1:14" x14ac:dyDescent="0.3">
      <c r="A20" s="7"/>
      <c r="B20" s="7"/>
      <c r="C20" s="7"/>
      <c r="D20" s="7"/>
      <c r="K20" s="127"/>
    </row>
    <row r="21" spans="1:14" ht="15.75" thickBot="1" x14ac:dyDescent="0.35">
      <c r="A21" s="119"/>
      <c r="B21" s="119"/>
      <c r="C21" s="119"/>
      <c r="D21" s="119"/>
      <c r="E21" s="119"/>
      <c r="F21" s="119"/>
      <c r="G21" s="123"/>
      <c r="H21" s="124"/>
      <c r="I21" s="125"/>
      <c r="J21" s="126"/>
      <c r="K21" s="119"/>
      <c r="L21" s="119"/>
      <c r="M21" s="119"/>
      <c r="N21" s="121"/>
    </row>
    <row r="22" spans="1:14" x14ac:dyDescent="0.3"/>
    <row r="23" spans="1:14" x14ac:dyDescent="0.3">
      <c r="B23" s="48" t="s">
        <v>538</v>
      </c>
    </row>
    <row r="24" spans="1:14" ht="15.75" thickBot="1" x14ac:dyDescent="0.35"/>
    <row r="25" spans="1:14" ht="26.25" thickBot="1" x14ac:dyDescent="0.35">
      <c r="B25" s="297" t="s">
        <v>491</v>
      </c>
      <c r="C25" s="326" t="s">
        <v>492</v>
      </c>
      <c r="D25" s="297" t="s">
        <v>493</v>
      </c>
      <c r="E25" s="326" t="s">
        <v>494</v>
      </c>
      <c r="F25" s="297" t="s">
        <v>493</v>
      </c>
      <c r="G25" s="326" t="s">
        <v>495</v>
      </c>
      <c r="H25" s="297" t="s">
        <v>493</v>
      </c>
      <c r="I25" s="326" t="s">
        <v>531</v>
      </c>
      <c r="J25" s="297" t="s">
        <v>493</v>
      </c>
    </row>
    <row r="26" spans="1:14" ht="76.5" x14ac:dyDescent="0.3">
      <c r="B26" s="489">
        <v>1</v>
      </c>
      <c r="C26" s="498" t="s">
        <v>496</v>
      </c>
      <c r="D26" s="489">
        <v>0.05</v>
      </c>
      <c r="E26" s="298" t="s">
        <v>515</v>
      </c>
      <c r="F26" s="489">
        <v>0.05</v>
      </c>
      <c r="G26" s="298" t="s">
        <v>516</v>
      </c>
      <c r="H26" s="489">
        <v>0.1</v>
      </c>
      <c r="I26" s="498" t="s">
        <v>497</v>
      </c>
      <c r="J26" s="489">
        <v>0.1</v>
      </c>
    </row>
    <row r="27" spans="1:14" ht="39" thickBot="1" x14ac:dyDescent="0.35">
      <c r="B27" s="490"/>
      <c r="C27" s="499"/>
      <c r="D27" s="490"/>
      <c r="E27" s="299" t="s">
        <v>514</v>
      </c>
      <c r="F27" s="490"/>
      <c r="G27" s="300" t="s">
        <v>498</v>
      </c>
      <c r="H27" s="490"/>
      <c r="I27" s="499"/>
      <c r="J27" s="490"/>
    </row>
    <row r="28" spans="1:14" ht="38.25" customHeight="1" x14ac:dyDescent="0.3">
      <c r="B28" s="489">
        <v>2</v>
      </c>
      <c r="C28" s="498" t="s">
        <v>517</v>
      </c>
      <c r="D28" s="489">
        <v>0.3</v>
      </c>
      <c r="E28" s="301" t="s">
        <v>499</v>
      </c>
      <c r="F28" s="489">
        <v>0.75</v>
      </c>
      <c r="G28" s="495" t="s">
        <v>500</v>
      </c>
      <c r="H28" s="489">
        <v>0.5</v>
      </c>
      <c r="I28" s="495" t="s">
        <v>501</v>
      </c>
      <c r="J28" s="302" t="s">
        <v>502</v>
      </c>
    </row>
    <row r="29" spans="1:14" ht="26.25" thickBot="1" x14ac:dyDescent="0.35">
      <c r="B29" s="490"/>
      <c r="C29" s="499"/>
      <c r="D29" s="490"/>
      <c r="E29" s="303" t="s">
        <v>503</v>
      </c>
      <c r="F29" s="490"/>
      <c r="G29" s="496"/>
      <c r="H29" s="490"/>
      <c r="I29" s="496"/>
      <c r="J29" s="304" t="s">
        <v>504</v>
      </c>
    </row>
    <row r="30" spans="1:14" ht="36.75" customHeight="1" x14ac:dyDescent="0.3">
      <c r="B30" s="489">
        <v>3</v>
      </c>
      <c r="C30" s="305" t="s">
        <v>505</v>
      </c>
      <c r="D30" s="489">
        <v>0.5</v>
      </c>
      <c r="E30" s="306" t="s">
        <v>506</v>
      </c>
      <c r="F30" s="489">
        <v>0.9</v>
      </c>
      <c r="G30" s="495" t="s">
        <v>507</v>
      </c>
      <c r="H30" s="489">
        <v>0.25</v>
      </c>
      <c r="I30" s="495" t="s">
        <v>508</v>
      </c>
      <c r="J30" s="489">
        <v>0.25</v>
      </c>
    </row>
    <row r="31" spans="1:14" ht="25.5" x14ac:dyDescent="0.3">
      <c r="B31" s="490"/>
      <c r="C31" s="307" t="s">
        <v>509</v>
      </c>
      <c r="D31" s="490"/>
      <c r="E31" s="308" t="s">
        <v>510</v>
      </c>
      <c r="F31" s="490"/>
      <c r="G31" s="496"/>
      <c r="H31" s="490"/>
      <c r="I31" s="496"/>
      <c r="J31" s="490"/>
    </row>
    <row r="32" spans="1:14" ht="15.75" thickBot="1" x14ac:dyDescent="0.35">
      <c r="B32" s="491"/>
      <c r="C32" s="309"/>
      <c r="D32" s="491"/>
      <c r="E32" s="310" t="s">
        <v>503</v>
      </c>
      <c r="F32" s="491"/>
      <c r="G32" s="497"/>
      <c r="H32" s="491"/>
      <c r="I32" s="497"/>
      <c r="J32" s="491"/>
    </row>
    <row r="33" spans="2:10" ht="51.75" thickBot="1" x14ac:dyDescent="0.35">
      <c r="B33" s="311">
        <v>4</v>
      </c>
      <c r="C33" s="312" t="s">
        <v>511</v>
      </c>
      <c r="D33" s="311"/>
      <c r="E33" s="313"/>
      <c r="F33" s="311"/>
      <c r="G33" s="314" t="s">
        <v>512</v>
      </c>
      <c r="H33" s="311">
        <v>0.9</v>
      </c>
      <c r="I33" s="314" t="s">
        <v>513</v>
      </c>
      <c r="J33" s="311">
        <v>0.9</v>
      </c>
    </row>
    <row r="34" spans="2:10" x14ac:dyDescent="0.3"/>
  </sheetData>
  <mergeCells count="23">
    <mergeCell ref="B26:B27"/>
    <mergeCell ref="C26:C27"/>
    <mergeCell ref="D26:D27"/>
    <mergeCell ref="F26:F27"/>
    <mergeCell ref="H26:H27"/>
    <mergeCell ref="B28:B29"/>
    <mergeCell ref="C28:C29"/>
    <mergeCell ref="D28:D29"/>
    <mergeCell ref="F28:F29"/>
    <mergeCell ref="G28:G29"/>
    <mergeCell ref="B30:B32"/>
    <mergeCell ref="D30:D32"/>
    <mergeCell ref="F30:F32"/>
    <mergeCell ref="G30:G32"/>
    <mergeCell ref="H30:H32"/>
    <mergeCell ref="J30:J32"/>
    <mergeCell ref="H9:K9"/>
    <mergeCell ref="D9:G9"/>
    <mergeCell ref="H28:H29"/>
    <mergeCell ref="I28:I29"/>
    <mergeCell ref="I30:I32"/>
    <mergeCell ref="I26:I27"/>
    <mergeCell ref="J26:J27"/>
  </mergeCells>
  <conditionalFormatting sqref="B12">
    <cfRule type="expression" dxfId="4" priority="17">
      <formula>IF(MATCH(B15,D15:G15,0)=2,0,1)</formula>
    </cfRule>
  </conditionalFormatting>
  <conditionalFormatting sqref="B19">
    <cfRule type="expression" dxfId="3" priority="1">
      <formula>IF($B$10="TSA",0,1)</formula>
    </cfRule>
  </conditionalFormatting>
  <dataValidations xWindow="460" yWindow="181" count="21">
    <dataValidation type="list" allowBlank="1" showInputMessage="1" showErrorMessage="1" sqref="G21:H21">
      <formula1>$H$2:$H$7</formula1>
    </dataValidation>
    <dataValidation type="list" errorStyle="information" allowBlank="1" showInputMessage="1" showErrorMessage="1" errorTitle="Nota bene:" error="Afwijkende getallen hebben tot gevolg dat de levensduur berekening niet is gedefinieerd." sqref="K20 I21:L21">
      <formula1>"1,2,3"</formula1>
    </dataValidation>
    <dataValidation type="list" allowBlank="1" showInputMessage="1" showErrorMessage="1" promptTitle="Opties in coating kwaliteit:" prompt="1- Oude generatie coatings._x000a_2- Huidige, nieuwe generatie coatings." sqref="B12">
      <formula1>$D$12:$E$12</formula1>
    </dataValidation>
    <dataValidation type="list" allowBlank="1" showInputMessage="1" showErrorMessage="1" promptTitle="Opties in toestand van isolatie:" prompt="1- Goede uitvoering en voldoende onderhoud_x000a_2- Voldoende uitvoering en onvoldoende onderhoud_x000a_3- Onvoldoende uitvoering, voldoende onderhoud_x000a_4- Onvoldoende uitvoering, onvoldoende onderhoud" sqref="B15">
      <formula1>$D$15:$G$15</formula1>
    </dataValidation>
    <dataValidation type="list" allowBlank="1" showInputMessage="1" showErrorMessage="1" promptTitle="Opties in proces &amp; uitvoering:" prompt="1- 100% doordacht en haalbaar proces. Getoetst door coatingdeskundige;_x000a_Goed plan; voldoende expertise_x000a_2- Goed plan; onvoldoende expertise_x000a_3- Onvoldoende plan; voldoende expertise_x000a_4- Onvoldoende plan; onvoldoende expertise" sqref="B14">
      <formula1>$D$14:$G$14</formula1>
    </dataValidation>
    <dataValidation type="list" allowBlank="1" showInputMessage="1" showErrorMessage="1" promptTitle="Opties:" prompt="1-Conserveerbaarheid conform ISO 12944-3 vlgs coatingsdeskundige._x000a_Toegankelijkheid geschikt voor conservering_x000a_2-Conserveerbaarheid op 50% van het object moeilijk, bijv. liften bij oplegpunten._x000a_3- Conserveerbaarheid op &gt;80% van het object moeilijk, ,, . " sqref="B13">
      <formula1>$D$13:$F$13</formula1>
    </dataValidation>
    <dataValidation type="list" allowBlank="1" showInputMessage="1" showErrorMessage="1" promptTitle="Opties:" prompt="1- Getest (= voldoende tolerant)* en &gt;10 jaar ervaring_x000a_2- Volledig getest en geen langdurige ervaring ervaring_x000a_3- Onvolledig getest maar geen ervaring; Nieuwe systemen" sqref="B11">
      <formula1>$D$11:$F$11</formula1>
    </dataValidation>
    <dataValidation allowBlank="1" showInputMessage="1" showErrorMessage="1" promptTitle="Keuze:" prompt="Kies een optie of maak de cel leeg._x000a_In geval van géén keuze wordt uitgegaan van de voor de levensduur meest ongunstige optie." sqref="B9"/>
    <dataValidation type="custom" showInputMessage="1" showErrorMessage="1" errorTitle="Beschermde formule!" error="Formule is afgeschermd om onbedoelde wijzigingen te verhinderen!" promptTitle="Score:" prompt="De effectscore van de diverse invloedsfactoren._x000a_Een lagere score betekent een langere levensduur._x000a_De levensduur is beperkt tot de maximale referentie levensduur." sqref="C17">
      <formula1>0</formula1>
    </dataValidation>
    <dataValidation type="custom" showInputMessage="1" showErrorMessage="1" errorTitle="Formule afgeschermd!" error="Formule is afgeschermd om onbedoelde wijzigingen te verhinderen!" promptTitle="Levensduur coating:" prompt="De levensduur van de coating, gegeven de relevante beoordelingsaspecten, zoals weergegeven in de onderstaande tabel." sqref="C18">
      <formula1>0</formula1>
    </dataValidation>
    <dataValidation type="custom" showInputMessage="1" showErrorMessage="1" errorTitle="Nota bene!" error="Deze cel is afgeschermd tegen onbedoelde wijzigingen!" promptTitle="Levensduur klasse" prompt="De levensduur klasse volgt uit de gegevens die hierboven zijn ingevuld. Dit is dus &quot;output&quot; in plaats van 'input&quot;." sqref="B16">
      <formula1>0</formula1>
    </dataValidation>
    <dataValidation type="custom" showInputMessage="1" showErrorMessage="1" errorTitle="Nota bene:" error="Deze gegevens zijn afgeschermd tegen wijziging om onbedoelde effecten te vermijden." sqref="H15 K16:L16 D16:G16 I16 H10:H11 H12:K12 H13:K13 J14:K15 H14:I14 H16 D10:G15">
      <formula1>0</formula1>
    </dataValidation>
    <dataValidation type="custom" showInputMessage="1" showErrorMessage="1" errorTitle="Nota bene:" error="Deze gegevens zijn afgeschermd tegen wijziging om onbedoelde effecten te vermijden." promptTitle="Isolatie-effect score:" prompt="De effect score in afhankelijkheid van het niveau van uitvoering en het niveau van onderhoud." sqref="I15">
      <formula1>0</formula1>
    </dataValidation>
    <dataValidation type="list" allowBlank="1" showInputMessage="1" showErrorMessage="1" errorTitle="Nota bene:" error="Deze gegevens zijn afgeschermd tegen wijziging om onbedoelde effecten te vermijden." promptTitle="Type coating; opties:" prompt="Niets invoeren, geldt als &quot;coating&quot;._x000a_Opties:_x000a_- Coating_x000a_- TSA" sqref="B10">
      <formula1>$D$10:$E$10</formula1>
    </dataValidation>
    <dataValidation type="custom" showInputMessage="1" showErrorMessage="1" errorTitle="Nota bene:" error="Deze gegevens zijn afgeschermd tegen wijziging om onbedoelde effecten te vermijden." promptTitle="TSA levensduur factor:" prompt="De verhouding tussen de levensduur voor &quot;gebruikelijke&quot; coatings ten opzichte van een thermisch gespoten, anorganisch gesealde aluminium coating, TSA._x000a_Bijgesteld nav info Jo van Montfort dd 23Maart20._x000a_Is als &quot;werkgroep waarde&quot; afgeschermd tegen wijziging." sqref="B19">
      <formula1>0</formula1>
    </dataValidation>
    <dataValidation type="custom" showInputMessage="1" showErrorMessage="1" errorTitle="Nota bene:" error="Deze gegevens zijn afgeschermd tegen wijziging om onbedoelde effecten te vermijden." promptTitle="Beoordeling- referentie waarde" prompt="Bijgesteld van 10 =&gt; 8 n.a.v. recentste update d.d. 23 Maart 2020 van Jo van Montfort, Bjond." sqref="J16">
      <formula1>0</formula1>
    </dataValidation>
    <dataValidation type="custom" showInputMessage="1" showErrorMessage="1" promptTitle="De referentie levensduur." prompt="Dit is in principe een &quot;input&quot;, die ingegeven moet worden._x000a_Aangezien dit een vaste waarde is, zoals door de werkgroep vastgesteld, is deze input beschermd tegen wijziging._x000a_Om die reden is de kleur &quot;verdund&quot;." sqref="B18">
      <formula1>0</formula1>
    </dataValidation>
    <dataValidation type="custom" showInputMessage="1" showErrorMessage="1" errorTitle="Nota bene!" error="Deze cel is afgeschermd tegen onbedoelde wijzigingen!" promptTitle="Score" prompt="Vaste waarde, resultaat van de werkgroep." sqref="D30:D33 H26:H27 F28:F33 F26:F27 J26:J33 H33 H28:H32 D26:D27">
      <formula1>0</formula1>
    </dataValidation>
    <dataValidation type="custom" showInputMessage="1" showErrorMessage="1" errorTitle="Nota bene!" error="Deze cel is afgeschermd tegen onbedoelde wijzigingen!" promptTitle="Score" prompt="Vaste waarde, resultaat van de werkgroep._x000a_Gewijzigd van 0,1=&gt; 0,3 nav info van Jo van Montfort dd 23Maart20." sqref="D28:D29">
      <formula1>0</formula1>
    </dataValidation>
    <dataValidation type="custom" showInputMessage="1" showErrorMessage="1" errorTitle="Nota bene!" error="Deze cel is afgeschermd tegen onbedoelde wijzigingen!" promptTitle="Beoordeling" prompt="Vaste referentie, resultaat van de werkgroep." sqref="G26 G27:G32 G33 E26:E32 I26:I33 E33 C26:C33">
      <formula1>0</formula1>
    </dataValidation>
    <dataValidation type="custom" showInputMessage="1" showErrorMessage="1" errorTitle="Nota bene!" error="Deze cel is afgeschermd tegen onbedoelde wijzigingen!" promptTitle="Optie #" prompt="Volg orde." sqref="B26:B33">
      <formula1>0</formula1>
    </dataValidation>
  </dataValidations>
  <pageMargins left="0.70866141732283472" right="0.70866141732283472" top="1.5354330708661419" bottom="0.74803149606299213" header="0.31496062992125984" footer="0.31496062992125984"/>
  <pageSetup paperSize="9" scale="38" orientation="landscape" r:id="rId1"/>
  <headerFooter>
    <oddHeader>&amp;L&amp;G&amp;RWorld Class Maintenance project: Risk Based CUI Management.</oddHeader>
    <oddFooter>&amp;L&amp;9File / Tab: &amp;F / &amp;A&amp;C&amp;9Printdatum: &amp;D&amp;R&amp;9Bladzijde &amp;P van &amp;N.</odd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5" tint="-0.249977111117893"/>
  </sheetPr>
  <dimension ref="A1:Q50"/>
  <sheetViews>
    <sheetView topLeftCell="A7" zoomScaleNormal="100" workbookViewId="0">
      <selection activeCell="N7" sqref="N7"/>
    </sheetView>
  </sheetViews>
  <sheetFormatPr defaultColWidth="0" defaultRowHeight="15" zeroHeight="1" outlineLevelCol="1" x14ac:dyDescent="0.3"/>
  <cols>
    <col min="1" max="1" width="4.42578125" style="245" customWidth="1"/>
    <col min="2" max="2" width="54.85546875" style="245" customWidth="1"/>
    <col min="3" max="13" width="4.42578125" style="245" customWidth="1"/>
    <col min="14" max="14" width="60.140625" style="245" customWidth="1"/>
    <col min="15" max="15" width="16.7109375" style="245" customWidth="1"/>
    <col min="16" max="16" width="44.140625" style="245" customWidth="1" outlineLevel="1"/>
    <col min="17" max="17" width="9.140625" style="245" customWidth="1"/>
    <col min="18" max="16384" width="9.140625" style="245" hidden="1"/>
  </cols>
  <sheetData>
    <row r="1" spans="2:16" x14ac:dyDescent="0.3">
      <c r="C1" s="515" t="s">
        <v>479</v>
      </c>
      <c r="D1" s="515"/>
      <c r="E1" s="515"/>
      <c r="F1" s="515"/>
      <c r="G1" s="515"/>
      <c r="H1" s="515"/>
      <c r="I1" s="515"/>
      <c r="J1" s="515"/>
      <c r="K1" s="515"/>
      <c r="L1" s="515"/>
      <c r="M1" s="515"/>
      <c r="N1" s="246" t="s">
        <v>633</v>
      </c>
      <c r="O1" s="247" t="s">
        <v>450</v>
      </c>
    </row>
    <row r="2" spans="2:16" x14ac:dyDescent="0.3">
      <c r="B2" s="247" t="s">
        <v>451</v>
      </c>
      <c r="C2" s="422" t="s">
        <v>599</v>
      </c>
      <c r="D2" s="248"/>
      <c r="E2" s="248"/>
      <c r="F2" s="248"/>
      <c r="G2" s="248"/>
      <c r="H2" s="248"/>
      <c r="I2" s="248"/>
      <c r="J2" s="248"/>
      <c r="K2" s="249"/>
      <c r="L2" s="250"/>
      <c r="M2" s="250"/>
      <c r="N2" s="250"/>
      <c r="O2" s="423">
        <v>640</v>
      </c>
      <c r="P2" s="252" t="str">
        <f>C2</f>
        <v>1) Visuele inspectie met uitpakken.</v>
      </c>
    </row>
    <row r="3" spans="2:16" x14ac:dyDescent="0.3">
      <c r="B3" s="508" t="s">
        <v>452</v>
      </c>
      <c r="C3" s="253"/>
      <c r="D3" s="284" t="s">
        <v>589</v>
      </c>
      <c r="E3" s="248"/>
      <c r="F3" s="248"/>
      <c r="G3" s="248"/>
      <c r="H3" s="248"/>
      <c r="I3" s="248"/>
      <c r="J3" s="248"/>
      <c r="K3" s="248"/>
      <c r="L3" s="249"/>
      <c r="M3" s="250"/>
      <c r="N3" s="250"/>
      <c r="O3" s="423">
        <v>600</v>
      </c>
      <c r="P3" s="252" t="str">
        <f>D3</f>
        <v>2) On stream RT (Film)</v>
      </c>
    </row>
    <row r="4" spans="2:16" x14ac:dyDescent="0.3">
      <c r="B4" s="508"/>
      <c r="C4" s="253"/>
      <c r="D4" s="253"/>
      <c r="E4" s="284" t="s">
        <v>593</v>
      </c>
      <c r="F4" s="248"/>
      <c r="G4" s="248"/>
      <c r="H4" s="248"/>
      <c r="I4" s="248"/>
      <c r="J4" s="248"/>
      <c r="K4" s="248"/>
      <c r="L4" s="248"/>
      <c r="M4" s="249"/>
      <c r="N4" s="250"/>
      <c r="O4" s="423">
        <v>400</v>
      </c>
      <c r="P4" s="252" t="str">
        <f>E4</f>
        <v>3) On streamRT (digitaal)</v>
      </c>
    </row>
    <row r="5" spans="2:16" x14ac:dyDescent="0.3">
      <c r="B5" s="508"/>
      <c r="C5" s="253"/>
      <c r="D5" s="253"/>
      <c r="E5" s="253"/>
      <c r="F5" s="366" t="s">
        <v>590</v>
      </c>
      <c r="G5" s="254"/>
      <c r="H5" s="254"/>
      <c r="I5" s="254"/>
      <c r="J5" s="254"/>
      <c r="K5" s="254"/>
      <c r="L5" s="254"/>
      <c r="M5" s="255"/>
      <c r="N5" s="250"/>
      <c r="O5" s="423">
        <v>150</v>
      </c>
      <c r="P5" s="252" t="str">
        <f>F5</f>
        <v>4) Profile radiografie</v>
      </c>
    </row>
    <row r="6" spans="2:16" x14ac:dyDescent="0.3">
      <c r="B6" s="508"/>
      <c r="C6" s="253"/>
      <c r="D6" s="253"/>
      <c r="E6" s="253"/>
      <c r="F6" s="256"/>
      <c r="G6" s="284" t="s">
        <v>591</v>
      </c>
      <c r="H6" s="248"/>
      <c r="I6" s="248"/>
      <c r="J6" s="248"/>
      <c r="K6" s="248"/>
      <c r="L6" s="248"/>
      <c r="M6" s="249"/>
      <c r="N6" s="250"/>
      <c r="O6" s="423">
        <v>2400</v>
      </c>
      <c r="P6" s="252" t="str">
        <f>G6</f>
        <v>5) Guided Waves / Long Range UT</v>
      </c>
    </row>
    <row r="7" spans="2:16" x14ac:dyDescent="0.3">
      <c r="B7" s="508"/>
      <c r="C7" s="253"/>
      <c r="D7" s="253"/>
      <c r="E7" s="253"/>
      <c r="F7" s="256"/>
      <c r="G7" s="253"/>
      <c r="H7" s="284" t="s">
        <v>594</v>
      </c>
      <c r="I7" s="248"/>
      <c r="J7" s="248"/>
      <c r="K7" s="248"/>
      <c r="L7" s="248"/>
      <c r="M7" s="249"/>
      <c r="N7" s="250"/>
      <c r="O7" s="423">
        <v>4000</v>
      </c>
      <c r="P7" s="252" t="str">
        <f>H7</f>
        <v>6) PEC / PEC Array</v>
      </c>
    </row>
    <row r="8" spans="2:16" x14ac:dyDescent="0.3">
      <c r="B8" s="508"/>
      <c r="C8" s="253"/>
      <c r="D8" s="253"/>
      <c r="E8" s="253"/>
      <c r="F8" s="256"/>
      <c r="G8" s="253"/>
      <c r="H8" s="253"/>
      <c r="I8" s="366" t="s">
        <v>592</v>
      </c>
      <c r="J8" s="254"/>
      <c r="K8" s="254"/>
      <c r="L8" s="254"/>
      <c r="M8" s="255"/>
      <c r="N8" s="250"/>
      <c r="O8" s="423">
        <v>12000</v>
      </c>
      <c r="P8" s="252" t="str">
        <f>I8</f>
        <v>7) In-line inspection (intelligent pigging)</v>
      </c>
    </row>
    <row r="9" spans="2:16" x14ac:dyDescent="0.3">
      <c r="B9" s="508"/>
      <c r="C9" s="253"/>
      <c r="D9" s="253"/>
      <c r="E9" s="253"/>
      <c r="F9" s="256"/>
      <c r="G9" s="253"/>
      <c r="H9" s="253"/>
      <c r="I9" s="256"/>
      <c r="J9" s="284" t="s">
        <v>595</v>
      </c>
      <c r="K9" s="248"/>
      <c r="L9" s="248"/>
      <c r="M9" s="249"/>
      <c r="N9" s="250"/>
      <c r="O9" s="423">
        <v>625</v>
      </c>
      <c r="P9" s="252" t="str">
        <f>J9</f>
        <v>8) Ultrasone wanddikte meting</v>
      </c>
    </row>
    <row r="10" spans="2:16" x14ac:dyDescent="0.3">
      <c r="B10" s="508"/>
      <c r="C10" s="253"/>
      <c r="D10" s="253"/>
      <c r="E10" s="253"/>
      <c r="F10" s="256"/>
      <c r="G10" s="253"/>
      <c r="H10" s="253"/>
      <c r="I10" s="256"/>
      <c r="J10" s="257"/>
      <c r="K10" s="284" t="s">
        <v>596</v>
      </c>
      <c r="L10" s="248"/>
      <c r="M10" s="249"/>
      <c r="N10" s="293"/>
      <c r="O10" s="423">
        <v>1133</v>
      </c>
      <c r="P10" s="252" t="str">
        <f>K10</f>
        <v>9) UT C-scan mapping</v>
      </c>
    </row>
    <row r="11" spans="2:16" x14ac:dyDescent="0.3">
      <c r="B11" s="508"/>
      <c r="C11" s="253"/>
      <c r="D11" s="253"/>
      <c r="E11" s="253"/>
      <c r="F11" s="256"/>
      <c r="G11" s="253"/>
      <c r="H11" s="253"/>
      <c r="I11" s="256"/>
      <c r="J11" s="257"/>
      <c r="K11" s="253"/>
      <c r="L11" s="284" t="s">
        <v>597</v>
      </c>
      <c r="M11" s="249"/>
      <c r="N11" s="294"/>
      <c r="O11" s="423">
        <v>64</v>
      </c>
      <c r="P11" s="252" t="str">
        <f>L11</f>
        <v>10) Thermografie</v>
      </c>
    </row>
    <row r="12" spans="2:16" x14ac:dyDescent="0.3">
      <c r="B12" s="508"/>
      <c r="C12" s="253"/>
      <c r="D12" s="253"/>
      <c r="E12" s="253"/>
      <c r="F12" s="256"/>
      <c r="G12" s="253"/>
      <c r="H12" s="253"/>
      <c r="I12" s="256"/>
      <c r="J12" s="257"/>
      <c r="K12" s="253"/>
      <c r="L12" s="253"/>
      <c r="M12" s="372" t="s">
        <v>482</v>
      </c>
      <c r="N12" s="295"/>
      <c r="O12" s="423">
        <v>1024</v>
      </c>
      <c r="P12" s="252" t="str">
        <f>M12</f>
        <v>11) 	Neuron Backscatter (tbv vochtdetectie)</v>
      </c>
    </row>
    <row r="13" spans="2:16" ht="15.75" thickBot="1" x14ac:dyDescent="0.35">
      <c r="B13" s="258" t="s">
        <v>453</v>
      </c>
      <c r="C13" s="259"/>
      <c r="D13" s="259"/>
      <c r="E13" s="259"/>
      <c r="F13" s="260"/>
      <c r="G13" s="259"/>
      <c r="H13" s="259"/>
      <c r="I13" s="260"/>
      <c r="J13" s="259"/>
      <c r="K13" s="259"/>
      <c r="L13" s="259"/>
      <c r="M13" s="259"/>
      <c r="N13" s="261" t="s">
        <v>454</v>
      </c>
      <c r="O13" s="262"/>
      <c r="P13" s="262"/>
    </row>
    <row r="14" spans="2:16" x14ac:dyDescent="0.3">
      <c r="B14" s="263" t="s">
        <v>583</v>
      </c>
      <c r="C14" s="367" t="s">
        <v>74</v>
      </c>
      <c r="D14" s="367" t="s">
        <v>75</v>
      </c>
      <c r="E14" s="367" t="s">
        <v>75</v>
      </c>
      <c r="F14" s="368" t="s">
        <v>75</v>
      </c>
      <c r="G14" s="367" t="s">
        <v>76</v>
      </c>
      <c r="H14" s="367" t="s">
        <v>76</v>
      </c>
      <c r="I14" s="368" t="s">
        <v>75</v>
      </c>
      <c r="J14" s="367" t="s">
        <v>74</v>
      </c>
      <c r="K14" s="367" t="s">
        <v>75</v>
      </c>
      <c r="L14" s="367" t="s">
        <v>77</v>
      </c>
      <c r="M14" s="288" t="s">
        <v>77</v>
      </c>
      <c r="N14" s="264"/>
    </row>
    <row r="15" spans="2:16" x14ac:dyDescent="0.3">
      <c r="B15" s="263" t="s">
        <v>584</v>
      </c>
      <c r="C15" s="369" t="s">
        <v>74</v>
      </c>
      <c r="D15" s="369" t="s">
        <v>74</v>
      </c>
      <c r="E15" s="369" t="s">
        <v>74</v>
      </c>
      <c r="F15" s="370" t="s">
        <v>75</v>
      </c>
      <c r="G15" s="369" t="s">
        <v>76</v>
      </c>
      <c r="H15" s="369" t="s">
        <v>76</v>
      </c>
      <c r="I15" s="370" t="s">
        <v>75</v>
      </c>
      <c r="J15" s="369" t="s">
        <v>74</v>
      </c>
      <c r="K15" s="369" t="s">
        <v>74</v>
      </c>
      <c r="L15" s="369" t="s">
        <v>77</v>
      </c>
      <c r="M15" s="289" t="s">
        <v>77</v>
      </c>
      <c r="N15" s="264"/>
    </row>
    <row r="16" spans="2:16" x14ac:dyDescent="0.3">
      <c r="B16" s="263" t="s">
        <v>585</v>
      </c>
      <c r="C16" s="369" t="s">
        <v>74</v>
      </c>
      <c r="D16" s="369" t="s">
        <v>74</v>
      </c>
      <c r="E16" s="369" t="s">
        <v>74</v>
      </c>
      <c r="F16" s="370" t="s">
        <v>75</v>
      </c>
      <c r="G16" s="369" t="s">
        <v>77</v>
      </c>
      <c r="H16" s="369" t="s">
        <v>75</v>
      </c>
      <c r="I16" s="370" t="s">
        <v>78</v>
      </c>
      <c r="J16" s="369" t="s">
        <v>78</v>
      </c>
      <c r="K16" s="369" t="s">
        <v>74</v>
      </c>
      <c r="L16" s="369" t="s">
        <v>78</v>
      </c>
      <c r="M16" s="289" t="s">
        <v>77</v>
      </c>
      <c r="N16" s="264"/>
    </row>
    <row r="17" spans="2:14" x14ac:dyDescent="0.3">
      <c r="B17" s="263" t="s">
        <v>586</v>
      </c>
      <c r="C17" s="369" t="s">
        <v>77</v>
      </c>
      <c r="D17" s="369" t="s">
        <v>75</v>
      </c>
      <c r="E17" s="369" t="s">
        <v>74</v>
      </c>
      <c r="F17" s="370" t="s">
        <v>76</v>
      </c>
      <c r="G17" s="369" t="s">
        <v>76</v>
      </c>
      <c r="H17" s="369" t="s">
        <v>78</v>
      </c>
      <c r="I17" s="370" t="s">
        <v>74</v>
      </c>
      <c r="J17" s="369" t="s">
        <v>78</v>
      </c>
      <c r="K17" s="369" t="s">
        <v>78</v>
      </c>
      <c r="L17" s="369" t="s">
        <v>77</v>
      </c>
      <c r="M17" s="289" t="s">
        <v>78</v>
      </c>
      <c r="N17" s="264"/>
    </row>
    <row r="18" spans="2:14" x14ac:dyDescent="0.3">
      <c r="B18" s="263" t="s">
        <v>587</v>
      </c>
      <c r="C18" s="369" t="s">
        <v>74</v>
      </c>
      <c r="D18" s="369" t="s">
        <v>75</v>
      </c>
      <c r="E18" s="369" t="s">
        <v>75</v>
      </c>
      <c r="F18" s="370" t="s">
        <v>75</v>
      </c>
      <c r="G18" s="369" t="s">
        <v>74</v>
      </c>
      <c r="H18" s="369" t="s">
        <v>75</v>
      </c>
      <c r="I18" s="370" t="s">
        <v>74</v>
      </c>
      <c r="J18" s="369" t="s">
        <v>74</v>
      </c>
      <c r="K18" s="369" t="s">
        <v>74</v>
      </c>
      <c r="L18" s="369" t="s">
        <v>76</v>
      </c>
      <c r="M18" s="289" t="s">
        <v>77</v>
      </c>
      <c r="N18" s="424" t="s">
        <v>455</v>
      </c>
    </row>
    <row r="19" spans="2:14" ht="15.75" thickBot="1" x14ac:dyDescent="0.35">
      <c r="B19" s="265" t="s">
        <v>588</v>
      </c>
      <c r="C19" s="369" t="s">
        <v>74</v>
      </c>
      <c r="D19" s="369" t="s">
        <v>74</v>
      </c>
      <c r="E19" s="369" t="s">
        <v>74</v>
      </c>
      <c r="F19" s="370" t="s">
        <v>74</v>
      </c>
      <c r="G19" s="369" t="s">
        <v>74</v>
      </c>
      <c r="H19" s="369" t="s">
        <v>75</v>
      </c>
      <c r="I19" s="370" t="s">
        <v>74</v>
      </c>
      <c r="J19" s="369" t="s">
        <v>74</v>
      </c>
      <c r="K19" s="369" t="s">
        <v>74</v>
      </c>
      <c r="L19" s="369" t="s">
        <v>76</v>
      </c>
      <c r="M19" s="289" t="s">
        <v>77</v>
      </c>
      <c r="N19" s="264"/>
    </row>
    <row r="20" spans="2:14" x14ac:dyDescent="0.3">
      <c r="B20" s="373" t="s">
        <v>582</v>
      </c>
      <c r="C20" s="516" t="s">
        <v>456</v>
      </c>
      <c r="D20" s="517"/>
      <c r="E20" s="517"/>
      <c r="F20" s="517"/>
      <c r="G20" s="517"/>
      <c r="H20" s="517"/>
      <c r="I20" s="517"/>
      <c r="J20" s="517"/>
      <c r="K20" s="517"/>
      <c r="L20" s="517"/>
      <c r="M20" s="518"/>
      <c r="N20" s="266"/>
    </row>
    <row r="21" spans="2:14" ht="29.25" customHeight="1" x14ac:dyDescent="0.3">
      <c r="B21" s="371" t="s">
        <v>457</v>
      </c>
      <c r="C21" s="268"/>
      <c r="D21" s="268"/>
      <c r="E21" s="268"/>
      <c r="F21" s="269"/>
      <c r="G21" s="268"/>
      <c r="H21" s="268"/>
      <c r="I21" s="269"/>
      <c r="J21" s="268"/>
      <c r="K21" s="268"/>
      <c r="L21" s="268"/>
      <c r="M21" s="520" t="s">
        <v>598</v>
      </c>
      <c r="N21" s="521"/>
    </row>
    <row r="22" spans="2:14" ht="45" x14ac:dyDescent="0.3">
      <c r="B22" s="270" t="s">
        <v>458</v>
      </c>
      <c r="C22" s="271"/>
      <c r="D22" s="271"/>
      <c r="E22" s="271"/>
      <c r="F22" s="272"/>
      <c r="G22" s="271"/>
      <c r="H22" s="271"/>
      <c r="I22" s="272"/>
      <c r="J22" s="271"/>
      <c r="K22" s="271"/>
      <c r="L22" s="519" t="s">
        <v>484</v>
      </c>
      <c r="M22" s="510"/>
      <c r="N22" s="510"/>
    </row>
    <row r="23" spans="2:14" ht="30" x14ac:dyDescent="0.3">
      <c r="B23" s="270" t="s">
        <v>459</v>
      </c>
      <c r="C23" s="271"/>
      <c r="D23" s="271"/>
      <c r="E23" s="271"/>
      <c r="F23" s="272"/>
      <c r="G23" s="271"/>
      <c r="H23" s="271"/>
      <c r="I23" s="272"/>
      <c r="J23" s="271"/>
      <c r="K23" s="519"/>
      <c r="L23" s="510"/>
      <c r="M23" s="510"/>
      <c r="N23" s="510"/>
    </row>
    <row r="24" spans="2:14" ht="45" x14ac:dyDescent="0.3">
      <c r="B24" s="270" t="s">
        <v>460</v>
      </c>
      <c r="C24" s="271"/>
      <c r="D24" s="271"/>
      <c r="E24" s="271"/>
      <c r="F24" s="272"/>
      <c r="G24" s="271"/>
      <c r="H24" s="271"/>
      <c r="I24" s="272"/>
      <c r="J24" s="509"/>
      <c r="K24" s="510"/>
      <c r="L24" s="510"/>
      <c r="M24" s="510"/>
      <c r="N24" s="510"/>
    </row>
    <row r="25" spans="2:14" x14ac:dyDescent="0.3">
      <c r="B25" s="267" t="s">
        <v>461</v>
      </c>
      <c r="C25" s="271"/>
      <c r="D25" s="271"/>
      <c r="E25" s="271"/>
      <c r="F25" s="272"/>
      <c r="G25" s="271"/>
      <c r="H25" s="271"/>
      <c r="I25" s="506"/>
      <c r="J25" s="507"/>
      <c r="K25" s="507"/>
      <c r="L25" s="507"/>
      <c r="M25" s="507"/>
      <c r="N25" s="507"/>
    </row>
    <row r="26" spans="2:14" x14ac:dyDescent="0.3">
      <c r="B26" s="508" t="s">
        <v>462</v>
      </c>
      <c r="C26" s="271"/>
      <c r="D26" s="271"/>
      <c r="E26" s="271"/>
      <c r="F26" s="272"/>
      <c r="G26" s="271"/>
      <c r="H26" s="509"/>
      <c r="I26" s="510"/>
      <c r="J26" s="510"/>
      <c r="K26" s="510"/>
      <c r="L26" s="510"/>
      <c r="M26" s="510"/>
      <c r="N26" s="510"/>
    </row>
    <row r="27" spans="2:14" x14ac:dyDescent="0.3">
      <c r="B27" s="508"/>
      <c r="C27" s="271"/>
      <c r="D27" s="271"/>
      <c r="E27" s="271"/>
      <c r="F27" s="272"/>
      <c r="G27" s="509"/>
      <c r="H27" s="510"/>
      <c r="I27" s="510"/>
      <c r="J27" s="510"/>
      <c r="K27" s="510"/>
      <c r="L27" s="510"/>
      <c r="M27" s="510"/>
      <c r="N27" s="510"/>
    </row>
    <row r="28" spans="2:14" x14ac:dyDescent="0.3">
      <c r="B28" s="508"/>
      <c r="C28" s="271"/>
      <c r="D28" s="271"/>
      <c r="E28" s="271"/>
      <c r="F28" s="506" t="s">
        <v>463</v>
      </c>
      <c r="G28" s="507"/>
      <c r="H28" s="507"/>
      <c r="I28" s="507"/>
      <c r="J28" s="507"/>
      <c r="K28" s="507"/>
      <c r="L28" s="507"/>
      <c r="M28" s="507"/>
      <c r="N28" s="507"/>
    </row>
    <row r="29" spans="2:14" x14ac:dyDescent="0.3">
      <c r="B29" s="508"/>
      <c r="C29" s="271"/>
      <c r="D29" s="271"/>
      <c r="E29" s="509" t="s">
        <v>464</v>
      </c>
      <c r="F29" s="510"/>
      <c r="G29" s="510"/>
      <c r="H29" s="510"/>
      <c r="I29" s="510"/>
      <c r="J29" s="510"/>
      <c r="K29" s="510"/>
      <c r="L29" s="510"/>
      <c r="M29" s="510"/>
      <c r="N29" s="510"/>
    </row>
    <row r="30" spans="2:14" x14ac:dyDescent="0.3">
      <c r="B30" s="508"/>
      <c r="C30" s="271"/>
      <c r="D30" s="509" t="s">
        <v>465</v>
      </c>
      <c r="E30" s="510"/>
      <c r="F30" s="510"/>
      <c r="G30" s="510"/>
      <c r="H30" s="510"/>
      <c r="I30" s="510"/>
      <c r="J30" s="510"/>
      <c r="K30" s="510"/>
      <c r="L30" s="510"/>
      <c r="M30" s="510"/>
      <c r="N30" s="510"/>
    </row>
    <row r="31" spans="2:14" x14ac:dyDescent="0.3">
      <c r="B31" s="508"/>
      <c r="C31" s="509" t="s">
        <v>466</v>
      </c>
      <c r="D31" s="510"/>
      <c r="E31" s="510"/>
      <c r="F31" s="510"/>
      <c r="G31" s="510"/>
      <c r="H31" s="510"/>
      <c r="I31" s="510"/>
      <c r="J31" s="510"/>
      <c r="K31" s="510"/>
      <c r="L31" s="510"/>
      <c r="M31" s="510"/>
      <c r="N31" s="510"/>
    </row>
    <row r="32" spans="2:14" x14ac:dyDescent="0.3"/>
    <row r="33" spans="2:14" x14ac:dyDescent="0.3"/>
    <row r="34" spans="2:14" x14ac:dyDescent="0.3">
      <c r="B34" s="247" t="s">
        <v>467</v>
      </c>
    </row>
    <row r="35" spans="2:14" ht="30.75" customHeight="1" x14ac:dyDescent="0.3">
      <c r="B35" s="511" t="s">
        <v>468</v>
      </c>
      <c r="C35" s="511"/>
      <c r="D35" s="511"/>
      <c r="E35" s="511"/>
      <c r="F35" s="511"/>
      <c r="G35" s="511"/>
      <c r="H35" s="511"/>
      <c r="I35" s="511"/>
      <c r="J35" s="511"/>
      <c r="K35" s="511"/>
      <c r="L35" s="511"/>
      <c r="M35" s="511"/>
      <c r="N35" s="511"/>
    </row>
    <row r="36" spans="2:14" x14ac:dyDescent="0.3">
      <c r="B36" s="264" t="s">
        <v>469</v>
      </c>
    </row>
    <row r="37" spans="2:14" x14ac:dyDescent="0.3">
      <c r="B37" s="251" t="s">
        <v>453</v>
      </c>
      <c r="C37" s="512" t="s">
        <v>583</v>
      </c>
      <c r="D37" s="512"/>
      <c r="E37" s="512"/>
      <c r="F37" s="512"/>
      <c r="G37" s="512"/>
      <c r="H37" s="512"/>
      <c r="I37" s="512"/>
      <c r="J37" s="512"/>
      <c r="K37" s="512"/>
      <c r="L37" s="512"/>
      <c r="M37" s="512"/>
    </row>
    <row r="38" spans="2:14" x14ac:dyDescent="0.3">
      <c r="B38" s="251" t="s">
        <v>470</v>
      </c>
      <c r="C38" s="512" t="s">
        <v>599</v>
      </c>
      <c r="D38" s="512"/>
      <c r="E38" s="512"/>
      <c r="F38" s="512"/>
      <c r="G38" s="512"/>
      <c r="H38" s="512"/>
      <c r="I38" s="512"/>
      <c r="J38" s="512"/>
      <c r="K38" s="512"/>
      <c r="L38" s="512"/>
      <c r="M38" s="512"/>
    </row>
    <row r="39" spans="2:14" x14ac:dyDescent="0.3">
      <c r="B39" s="251" t="s">
        <v>471</v>
      </c>
      <c r="C39" s="513">
        <f>IFERROR(1-INDEX(NDTEff,FIND(INDEX(NDTEffRatings,MATCH(C37,Typicals,0),MATCH(C38,NDT_Techn,0)),"ABCDE"),2),"?")</f>
        <v>1.0000000000000009E-2</v>
      </c>
      <c r="D39" s="513"/>
      <c r="E39" s="513"/>
      <c r="F39" s="513"/>
      <c r="G39" s="513"/>
      <c r="H39" s="513"/>
      <c r="I39" s="513"/>
      <c r="J39" s="513"/>
      <c r="K39" s="513"/>
      <c r="L39" s="513"/>
      <c r="M39" s="513"/>
      <c r="N39" s="264" t="s">
        <v>472</v>
      </c>
    </row>
    <row r="40" spans="2:14" x14ac:dyDescent="0.3">
      <c r="B40" s="251" t="s">
        <v>473</v>
      </c>
      <c r="C40" s="514">
        <v>1</v>
      </c>
      <c r="D40" s="512"/>
      <c r="E40" s="512"/>
      <c r="F40" s="512"/>
      <c r="G40" s="512"/>
      <c r="H40" s="512"/>
      <c r="I40" s="512"/>
      <c r="J40" s="512"/>
      <c r="K40" s="512"/>
      <c r="L40" s="512"/>
      <c r="M40" s="512"/>
      <c r="N40" s="285" t="str">
        <f>IFERROR(IF(C40&gt;=INDEX(NDTEff,FIND(INDEX(C14:M19,MATCH(C37,B14:B19,0),MATCH(C38,P2:P12,0)),"ABCDE"),3),"&gt;&gt;  OK","&gt;&gt;  Dekking te laag"),"?")</f>
        <v>&gt;&gt;  OK</v>
      </c>
    </row>
    <row r="41" spans="2:14" x14ac:dyDescent="0.3">
      <c r="B41" s="290" t="s">
        <v>485</v>
      </c>
      <c r="C41" s="505"/>
      <c r="D41" s="505"/>
      <c r="E41" s="505"/>
      <c r="F41" s="505"/>
      <c r="G41" s="505"/>
      <c r="H41" s="505"/>
      <c r="I41" s="505"/>
      <c r="J41" s="505"/>
      <c r="K41" s="505"/>
      <c r="L41" s="505"/>
      <c r="M41" s="505"/>
      <c r="N41" s="264" t="s">
        <v>474</v>
      </c>
    </row>
    <row r="42" spans="2:14" ht="15.75" thickBot="1" x14ac:dyDescent="0.35"/>
    <row r="43" spans="2:14" x14ac:dyDescent="0.3">
      <c r="D43" s="273" t="s">
        <v>475</v>
      </c>
      <c r="E43" s="274"/>
      <c r="F43" s="275"/>
      <c r="H43" s="502" t="s">
        <v>617</v>
      </c>
      <c r="I43" s="503"/>
      <c r="J43" s="503"/>
      <c r="K43" s="503"/>
      <c r="L43" s="503"/>
      <c r="M43" s="504"/>
    </row>
    <row r="44" spans="2:14" ht="15.75" thickBot="1" x14ac:dyDescent="0.35">
      <c r="D44" s="276" t="s">
        <v>476</v>
      </c>
      <c r="E44" s="277" t="s">
        <v>477</v>
      </c>
      <c r="F44" s="278" t="s">
        <v>478</v>
      </c>
      <c r="H44" s="399">
        <v>6</v>
      </c>
      <c r="I44" s="400">
        <v>5</v>
      </c>
      <c r="J44" s="400">
        <v>4</v>
      </c>
      <c r="K44" s="400">
        <v>3</v>
      </c>
      <c r="L44" s="400">
        <v>2</v>
      </c>
      <c r="M44" s="401">
        <v>1</v>
      </c>
    </row>
    <row r="45" spans="2:14" x14ac:dyDescent="0.3">
      <c r="D45" s="279" t="s">
        <v>74</v>
      </c>
      <c r="E45" s="280">
        <v>0.99</v>
      </c>
      <c r="F45" s="281">
        <v>1</v>
      </c>
      <c r="H45" s="393">
        <v>3</v>
      </c>
      <c r="I45" s="394">
        <v>3</v>
      </c>
      <c r="J45" s="394">
        <v>2</v>
      </c>
      <c r="K45" s="394">
        <v>1</v>
      </c>
      <c r="L45" s="394">
        <v>1</v>
      </c>
      <c r="M45" s="395">
        <v>1</v>
      </c>
      <c r="N45" s="500" t="s">
        <v>629</v>
      </c>
    </row>
    <row r="46" spans="2:14" x14ac:dyDescent="0.3">
      <c r="D46" s="279" t="s">
        <v>75</v>
      </c>
      <c r="E46" s="280">
        <v>0.9</v>
      </c>
      <c r="F46" s="281">
        <v>0.65</v>
      </c>
      <c r="H46" s="393">
        <v>4</v>
      </c>
      <c r="I46" s="394">
        <v>4</v>
      </c>
      <c r="J46" s="394">
        <v>3</v>
      </c>
      <c r="K46" s="394">
        <v>2</v>
      </c>
      <c r="L46" s="394">
        <v>1</v>
      </c>
      <c r="M46" s="395">
        <v>1</v>
      </c>
      <c r="N46" s="501"/>
    </row>
    <row r="47" spans="2:14" x14ac:dyDescent="0.3">
      <c r="D47" s="279" t="s">
        <v>76</v>
      </c>
      <c r="E47" s="280">
        <v>0.7</v>
      </c>
      <c r="F47" s="281">
        <v>0.35</v>
      </c>
      <c r="H47" s="393">
        <v>5</v>
      </c>
      <c r="I47" s="394">
        <v>5</v>
      </c>
      <c r="J47" s="394">
        <v>4</v>
      </c>
      <c r="K47" s="394">
        <v>3</v>
      </c>
      <c r="L47" s="394">
        <v>2</v>
      </c>
      <c r="M47" s="395">
        <v>1</v>
      </c>
      <c r="N47" s="501"/>
    </row>
    <row r="48" spans="2:14" x14ac:dyDescent="0.3">
      <c r="D48" s="279" t="s">
        <v>77</v>
      </c>
      <c r="E48" s="280">
        <v>0.3</v>
      </c>
      <c r="F48" s="281">
        <v>0.05</v>
      </c>
      <c r="H48" s="393">
        <v>5</v>
      </c>
      <c r="I48" s="394">
        <v>5</v>
      </c>
      <c r="J48" s="394">
        <v>4</v>
      </c>
      <c r="K48" s="394">
        <v>3</v>
      </c>
      <c r="L48" s="394">
        <v>2</v>
      </c>
      <c r="M48" s="395">
        <v>1</v>
      </c>
      <c r="N48" s="501"/>
    </row>
    <row r="49" spans="4:14" ht="15.75" thickBot="1" x14ac:dyDescent="0.35">
      <c r="D49" s="282" t="s">
        <v>78</v>
      </c>
      <c r="E49" s="283">
        <v>0</v>
      </c>
      <c r="F49" s="278"/>
      <c r="H49" s="396">
        <v>6</v>
      </c>
      <c r="I49" s="397">
        <v>5</v>
      </c>
      <c r="J49" s="397">
        <v>4</v>
      </c>
      <c r="K49" s="397">
        <v>3</v>
      </c>
      <c r="L49" s="397">
        <v>2</v>
      </c>
      <c r="M49" s="398">
        <v>1</v>
      </c>
      <c r="N49" s="501"/>
    </row>
    <row r="50" spans="4:14" x14ac:dyDescent="0.3"/>
  </sheetData>
  <mergeCells count="23">
    <mergeCell ref="J24:N24"/>
    <mergeCell ref="C1:M1"/>
    <mergeCell ref="B3:B12"/>
    <mergeCell ref="C20:M20"/>
    <mergeCell ref="L22:N22"/>
    <mergeCell ref="K23:N23"/>
    <mergeCell ref="M21:N21"/>
    <mergeCell ref="N45:N49"/>
    <mergeCell ref="H43:M43"/>
    <mergeCell ref="C41:M41"/>
    <mergeCell ref="I25:N25"/>
    <mergeCell ref="B26:B31"/>
    <mergeCell ref="H26:N26"/>
    <mergeCell ref="G27:N27"/>
    <mergeCell ref="F28:N28"/>
    <mergeCell ref="E29:N29"/>
    <mergeCell ref="D30:N30"/>
    <mergeCell ref="C31:N31"/>
    <mergeCell ref="B35:N35"/>
    <mergeCell ref="C37:M37"/>
    <mergeCell ref="C38:M38"/>
    <mergeCell ref="C39:M39"/>
    <mergeCell ref="C40:M40"/>
  </mergeCells>
  <conditionalFormatting sqref="N40">
    <cfRule type="containsText" dxfId="2" priority="2" operator="containsText" text="OK">
      <formula>NOT(ISERROR(SEARCH("OK",N40)))</formula>
    </cfRule>
    <cfRule type="containsText" dxfId="1" priority="3" operator="containsText" text="te laag">
      <formula>NOT(ISERROR(SEARCH("te laag",N40)))</formula>
    </cfRule>
  </conditionalFormatting>
  <conditionalFormatting sqref="C14:M19">
    <cfRule type="cellIs" dxfId="0" priority="1" operator="equal">
      <formula>"?"</formula>
    </cfRule>
  </conditionalFormatting>
  <dataValidations xWindow="640" yWindow="758" count="13">
    <dataValidation allowBlank="1" showInputMessage="1" showErrorMessage="1" promptTitle="Effectiviteits klasse" prompt="De effectiviteitsklasse, analoog aan de opzet vanuit de API 581." sqref="D44"/>
    <dataValidation allowBlank="1" showInputMessage="1" showErrorMessage="1" promptTitle="Reductie factor:" prompt="De mate van reductie van het risico, wanneer de toegepaste techniek met de aangegeven effectiviteitsklasse is gehanteerd, uitgaande van een dekking van hotspots die overeenkomt met het percentage uit de volgende kolom." sqref="E44"/>
    <dataValidation allowBlank="1" showInputMessage="1" showErrorMessage="1" promptTitle="Dekking:" prompt="Het percentage van de &quot;hot spots&quot;/ risicoplaatsen, wat door middel van NDO is onderzocht." sqref="F44"/>
    <dataValidation type="custom" showInputMessage="1" showErrorMessage="1" errorTitle="Formule beschermd!" error="De formule is afgeschermd tegen onbedoelde wijzigingen om de werking van het spreadsheet zeker te stellen." promptTitle="Reductie factor:" prompt="De factor waarmee het risico wordt beperkt._x000a_Een factor 1 (cq 100%) betekent géén reductie._x000a_Een factor 0,01 (1%) betekent een factor 100 reductie._x000a_Dat is wél afhankelijk van de toegepaste dekking, daarom wordt die in de volgende stap gecontroleerd." sqref="C39:M39">
      <formula1>0</formula1>
    </dataValidation>
    <dataValidation type="list" errorStyle="warning" allowBlank="1" showInputMessage="1" showErrorMessage="1" promptTitle="Typical:" prompt="De component die maatgevend is voor de kritische locatie in de installatie (de &quot;hot spot&quot;)." sqref="C37:M37">
      <formula1>Typicals</formula1>
    </dataValidation>
    <dataValidation type="list" allowBlank="1" showInputMessage="1" showErrorMessage="1" sqref="C38:M38">
      <formula1>NDT_Techn</formula1>
    </dataValidation>
    <dataValidation type="list" allowBlank="1" showInputMessage="1" showErrorMessage="1" promptTitle="Onderzoeks percentage." prompt="Het percentage van &quot;hotspots&quot;cq verdachte locaties wat is onderzocht._x000a_Dit percentage dient boven een bepaalde drempel te liggen om de benodigde effectiviteit te realiseren!" sqref="C40:M40">
      <formula1>"10%,20%,25%,30%,35%,40%,50%,65%,80%,100%"</formula1>
    </dataValidation>
    <dataValidation allowBlank="1" showInputMessage="1" showErrorMessage="1" promptTitle="Kans of &quot;false call&quot;:" prompt="De kans op het vinden van een afwijking cq schade, die bij nader onderzoek géén schade blijkt te zijn (de zogenaamde &quot;False call&quot;)._x000a_Dit is inefficiency aangezien dit niet bijdraagt aan het beoogde resultaat." sqref="C41:M41"/>
    <dataValidation type="list" showInputMessage="1" showErrorMessage="1" errorTitle="Nota bene!" error="Er kunnen geen andere waarden worden toegevoegd om te vermijden dat het resultaat niet toepasbaar is." promptTitle="De mate van faalkans reductie" prompt="De mate van faalkans reductie die met de gegeven techniek te behalen is._x000a_De letter is een maat voor de effectiviteit, analoog aan API 581:_x000a_A= Highly Effective_x000a_B= Usually   ,,_x000a_C= Fairly      ,,_x000a_D= Poorly    ,,_x000a_E= Ineffective_x000a_?= Unknown (To be determined)" sqref="C14:M19">
      <formula1>"A,B,C,D,E,?"</formula1>
    </dataValidation>
    <dataValidation type="custom" showInputMessage="1" showErrorMessage="1" errorTitle="Nota bene!" error="De inhoud van deze cel is beschermd tegen wijziging om onbedoelde effecten te vermijden!" promptTitle="Risico reductie:" prompt="Hierbij wordt naar een situatie gegaan waarbij het maximale faalkansniveau een factor 100 wordt gereduceerd._x000a_In de NEN-EN tabel stap je dan van Cat. 5 naar Cat. 3." sqref="H45:I45">
      <formula1>0</formula1>
    </dataValidation>
    <dataValidation type="custom" showInputMessage="1" showErrorMessage="1" errorTitle="Nota bene!" error="Er kunnen geen andere waarden worden toegevoegd om te vermijden dat het resultaat niet toepasbaar is." promptTitle="Risico reductie:" prompt="De mate van risicoreductie kan hierbij géén factor 10 of meer in faalkans opleveren. Daarmee is het effect in de risico matrix onvoldoende groot om naar een andere faalkans klassen te gaan." sqref="H47:M49">
      <formula1>0</formula1>
    </dataValidation>
    <dataValidation allowBlank="1" showInputMessage="1" showErrorMessage="1" promptTitle="Effect op faalkans categorie:" prompt="Dit effect is begroot aan de hand van de reductie in faalkans ([PoF annual]), met als resultaat vertaald naar de bijbehorende categorie." sqref="H43:M43"/>
    <dataValidation type="custom" showInputMessage="1" showErrorMessage="1" errorTitle="Nota bene!" error="De inhoud van deze cel is beschermd tegen wijziging om onbedoelde effecten te vermijden!" sqref="J45:M45 H46:M46 H44:M44 D45:F49">
      <formula1>0</formula1>
    </dataValidation>
  </dataValidations>
  <pageMargins left="0.7" right="0.7" top="0.75" bottom="0.75" header="0.3" footer="0.3"/>
  <pageSetup paperSize="9" orientation="portrait" horizontalDpi="4294967295" verticalDpi="4294967295"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D34"/>
  <sheetViews>
    <sheetView workbookViewId="0">
      <selection activeCell="D11" sqref="D11"/>
    </sheetView>
  </sheetViews>
  <sheetFormatPr defaultColWidth="0" defaultRowHeight="15" zeroHeight="1" x14ac:dyDescent="0.3"/>
  <cols>
    <col min="1" max="1" width="12.42578125" customWidth="1"/>
    <col min="2" max="2" width="74" customWidth="1"/>
    <col min="3" max="3" width="17.28515625" customWidth="1"/>
    <col min="4" max="4" width="9.140625" customWidth="1"/>
    <col min="5" max="16384" width="9.140625" hidden="1"/>
  </cols>
  <sheetData>
    <row r="1" spans="1:3" ht="15.75" thickBot="1" x14ac:dyDescent="0.35">
      <c r="A1" s="48" t="s">
        <v>187</v>
      </c>
    </row>
    <row r="2" spans="1:3" ht="15.75" thickBot="1" x14ac:dyDescent="0.35">
      <c r="A2" s="101" t="s">
        <v>188</v>
      </c>
      <c r="B2" s="109" t="s">
        <v>189</v>
      </c>
      <c r="C2" s="102" t="s">
        <v>200</v>
      </c>
    </row>
    <row r="3" spans="1:3" x14ac:dyDescent="0.3">
      <c r="A3" s="103" t="s">
        <v>214</v>
      </c>
      <c r="B3" s="104" t="s">
        <v>190</v>
      </c>
      <c r="C3" s="522" t="s">
        <v>201</v>
      </c>
    </row>
    <row r="4" spans="1:3" ht="30" x14ac:dyDescent="0.3">
      <c r="A4" s="105" t="s">
        <v>215</v>
      </c>
      <c r="B4" s="106" t="s">
        <v>191</v>
      </c>
      <c r="C4" s="523"/>
    </row>
    <row r="5" spans="1:3" x14ac:dyDescent="0.3">
      <c r="A5" s="105" t="s">
        <v>216</v>
      </c>
      <c r="B5" s="106" t="s">
        <v>192</v>
      </c>
      <c r="C5" s="523"/>
    </row>
    <row r="6" spans="1:3" ht="30" x14ac:dyDescent="0.3">
      <c r="A6" s="105" t="s">
        <v>217</v>
      </c>
      <c r="B6" s="106" t="s">
        <v>193</v>
      </c>
      <c r="C6" s="523"/>
    </row>
    <row r="7" spans="1:3" ht="30" x14ac:dyDescent="0.3">
      <c r="A7" s="105" t="s">
        <v>218</v>
      </c>
      <c r="B7" s="106" t="s">
        <v>194</v>
      </c>
      <c r="C7" s="523"/>
    </row>
    <row r="8" spans="1:3" ht="45" x14ac:dyDescent="0.3">
      <c r="A8" s="105" t="s">
        <v>219</v>
      </c>
      <c r="B8" s="106" t="s">
        <v>195</v>
      </c>
      <c r="C8" s="523"/>
    </row>
    <row r="9" spans="1:3" x14ac:dyDescent="0.3">
      <c r="A9" s="105" t="s">
        <v>220</v>
      </c>
      <c r="B9" s="106" t="s">
        <v>196</v>
      </c>
      <c r="C9" s="523"/>
    </row>
    <row r="10" spans="1:3" x14ac:dyDescent="0.3">
      <c r="A10" s="105" t="s">
        <v>221</v>
      </c>
      <c r="B10" s="106" t="s">
        <v>197</v>
      </c>
      <c r="C10" s="523"/>
    </row>
    <row r="11" spans="1:3" x14ac:dyDescent="0.3">
      <c r="A11" s="105" t="s">
        <v>213</v>
      </c>
      <c r="B11" s="106" t="s">
        <v>198</v>
      </c>
      <c r="C11" s="523"/>
    </row>
    <row r="12" spans="1:3" ht="30.75" thickBot="1" x14ac:dyDescent="0.35">
      <c r="A12" s="107" t="s">
        <v>212</v>
      </c>
      <c r="B12" s="108" t="s">
        <v>199</v>
      </c>
      <c r="C12" s="524"/>
    </row>
    <row r="13" spans="1:3" ht="15.75" thickBot="1" x14ac:dyDescent="0.35">
      <c r="A13" s="101" t="s">
        <v>188</v>
      </c>
      <c r="B13" s="109" t="s">
        <v>202</v>
      </c>
      <c r="C13" s="102" t="s">
        <v>200</v>
      </c>
    </row>
    <row r="14" spans="1:3" ht="45" x14ac:dyDescent="0.3">
      <c r="A14" s="103" t="s">
        <v>222</v>
      </c>
      <c r="B14" s="104" t="s">
        <v>203</v>
      </c>
      <c r="C14" s="522" t="s">
        <v>208</v>
      </c>
    </row>
    <row r="15" spans="1:3" ht="45" x14ac:dyDescent="0.3">
      <c r="A15" s="105" t="s">
        <v>223</v>
      </c>
      <c r="B15" s="106" t="s">
        <v>204</v>
      </c>
      <c r="C15" s="523"/>
    </row>
    <row r="16" spans="1:3" ht="90" x14ac:dyDescent="0.3">
      <c r="A16" s="525" t="s">
        <v>224</v>
      </c>
      <c r="B16" s="106" t="s">
        <v>205</v>
      </c>
      <c r="C16" s="523"/>
    </row>
    <row r="17" spans="1:3" ht="30" x14ac:dyDescent="0.3">
      <c r="A17" s="525"/>
      <c r="B17" s="106" t="s">
        <v>206</v>
      </c>
      <c r="C17" s="523"/>
    </row>
    <row r="18" spans="1:3" ht="45.75" thickBot="1" x14ac:dyDescent="0.35">
      <c r="A18" s="107" t="s">
        <v>225</v>
      </c>
      <c r="B18" s="108" t="s">
        <v>207</v>
      </c>
      <c r="C18" s="523"/>
    </row>
    <row r="19" spans="1:3" ht="15.75" thickBot="1" x14ac:dyDescent="0.35">
      <c r="A19" s="110" t="s">
        <v>188</v>
      </c>
      <c r="B19" s="109" t="s">
        <v>209</v>
      </c>
      <c r="C19" s="523"/>
    </row>
    <row r="20" spans="1:3" ht="45" x14ac:dyDescent="0.3">
      <c r="A20" s="103" t="s">
        <v>226</v>
      </c>
      <c r="B20" s="104" t="s">
        <v>210</v>
      </c>
      <c r="C20" s="523"/>
    </row>
    <row r="21" spans="1:3" ht="30.75" thickBot="1" x14ac:dyDescent="0.35">
      <c r="A21" s="107" t="s">
        <v>227</v>
      </c>
      <c r="B21" s="108" t="s">
        <v>211</v>
      </c>
      <c r="C21" s="523"/>
    </row>
    <row r="22" spans="1:3" ht="15.75" thickBot="1" x14ac:dyDescent="0.35">
      <c r="A22" s="110" t="s">
        <v>188</v>
      </c>
      <c r="B22" s="109" t="s">
        <v>209</v>
      </c>
      <c r="C22" s="102" t="s">
        <v>200</v>
      </c>
    </row>
    <row r="23" spans="1:3" ht="45" x14ac:dyDescent="0.3">
      <c r="A23" s="103" t="s">
        <v>228</v>
      </c>
      <c r="B23" s="104" t="s">
        <v>234</v>
      </c>
      <c r="C23" s="522" t="s">
        <v>231</v>
      </c>
    </row>
    <row r="24" spans="1:3" ht="60" x14ac:dyDescent="0.3">
      <c r="A24" s="105" t="s">
        <v>229</v>
      </c>
      <c r="B24" s="106" t="s">
        <v>233</v>
      </c>
      <c r="C24" s="523"/>
    </row>
    <row r="25" spans="1:3" ht="45.75" thickBot="1" x14ac:dyDescent="0.35">
      <c r="A25" s="107" t="s">
        <v>230</v>
      </c>
      <c r="B25" s="108" t="s">
        <v>232</v>
      </c>
      <c r="C25" s="524"/>
    </row>
    <row r="26" spans="1:3" ht="15.75" thickBot="1" x14ac:dyDescent="0.35">
      <c r="A26" s="110" t="s">
        <v>188</v>
      </c>
      <c r="B26" s="109" t="s">
        <v>209</v>
      </c>
      <c r="C26" s="102" t="s">
        <v>200</v>
      </c>
    </row>
    <row r="27" spans="1:3" ht="45" x14ac:dyDescent="0.3">
      <c r="A27" s="103" t="s">
        <v>235</v>
      </c>
      <c r="B27" s="104" t="s">
        <v>236</v>
      </c>
      <c r="C27" s="522" t="s">
        <v>237</v>
      </c>
    </row>
    <row r="28" spans="1:3" ht="45" x14ac:dyDescent="0.3">
      <c r="A28" s="111" t="s">
        <v>239</v>
      </c>
      <c r="B28" s="106" t="s">
        <v>238</v>
      </c>
      <c r="C28" s="523"/>
    </row>
    <row r="29" spans="1:3" ht="66" customHeight="1" thickBot="1" x14ac:dyDescent="0.35">
      <c r="A29" s="107" t="s">
        <v>240</v>
      </c>
      <c r="B29" s="108" t="s">
        <v>241</v>
      </c>
      <c r="C29" s="524"/>
    </row>
    <row r="30" spans="1:3" x14ac:dyDescent="0.3"/>
    <row r="31" spans="1:3" hidden="1" x14ac:dyDescent="0.3"/>
    <row r="32" spans="1:3" hidden="1" x14ac:dyDescent="0.3"/>
    <row r="33" hidden="1" x14ac:dyDescent="0.3"/>
    <row r="34" hidden="1" x14ac:dyDescent="0.3"/>
  </sheetData>
  <mergeCells count="5">
    <mergeCell ref="C3:C12"/>
    <mergeCell ref="A16:A17"/>
    <mergeCell ref="C14:C21"/>
    <mergeCell ref="C23:C25"/>
    <mergeCell ref="C27:C29"/>
  </mergeCells>
  <pageMargins left="0.7" right="0.7" top="0.75" bottom="0.75" header="0.3" footer="0.3"/>
  <pageSetup paperSize="9"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2039ADD5E94A4BB0B15B5FB7ADAC87" ma:contentTypeVersion="6" ma:contentTypeDescription="Create a new document." ma:contentTypeScope="" ma:versionID="01b5e44866dc18d9b3fd6fcd47944d7a">
  <xsd:schema xmlns:xsd="http://www.w3.org/2001/XMLSchema" xmlns:xs="http://www.w3.org/2001/XMLSchema" xmlns:p="http://schemas.microsoft.com/office/2006/metadata/properties" xmlns:ns2="38e5a78e-e4a4-43bc-8811-d13ed7ad4f63" targetNamespace="http://schemas.microsoft.com/office/2006/metadata/properties" ma:root="true" ma:fieldsID="37d27698a04567d5c54218fea1b8dd69" ns2:_="">
    <xsd:import namespace="38e5a78e-e4a4-43bc-8811-d13ed7ad4f6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e5a78e-e4a4-43bc-8811-d13ed7ad4f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6D6630-0A15-441C-9A9B-48471E8C9F0C}"/>
</file>

<file path=customXml/itemProps2.xml><?xml version="1.0" encoding="utf-8"?>
<ds:datastoreItem xmlns:ds="http://schemas.openxmlformats.org/officeDocument/2006/customXml" ds:itemID="{96C4BBD4-00B9-40A3-93B0-7ACA3C67F9F7}"/>
</file>

<file path=customXml/itemProps3.xml><?xml version="1.0" encoding="utf-8"?>
<ds:datastoreItem xmlns:ds="http://schemas.openxmlformats.org/officeDocument/2006/customXml" ds:itemID="{ABFADBF5-609B-44F6-BF7E-E19B8EB499D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37</vt:i4>
      </vt:variant>
    </vt:vector>
  </HeadingPairs>
  <TitlesOfParts>
    <vt:vector size="46" baseType="lpstr">
      <vt:lpstr>Toelichting</vt:lpstr>
      <vt:lpstr>Installatie</vt:lpstr>
      <vt:lpstr>NEN-EN 16991</vt:lpstr>
      <vt:lpstr>Faalkans</vt:lpstr>
      <vt:lpstr>CorrosieModel</vt:lpstr>
      <vt:lpstr>Isol.Cond.Class.</vt:lpstr>
      <vt:lpstr>Coating bescherming</vt:lpstr>
      <vt:lpstr>NDT Effectiviteit</vt:lpstr>
      <vt:lpstr>Succescriteria</vt:lpstr>
      <vt:lpstr>CoatGen</vt:lpstr>
      <vt:lpstr>CoatGenScore</vt:lpstr>
      <vt:lpstr>CoatIsol</vt:lpstr>
      <vt:lpstr>CoatIsolScor</vt:lpstr>
      <vt:lpstr>CoatLifetime</vt:lpstr>
      <vt:lpstr>CoatOntw</vt:lpstr>
      <vt:lpstr>CoatOntwScor</vt:lpstr>
      <vt:lpstr>CoatProc</vt:lpstr>
      <vt:lpstr>CoatProcScor</vt:lpstr>
      <vt:lpstr>CoatProd</vt:lpstr>
      <vt:lpstr>CoatProdScor</vt:lpstr>
      <vt:lpstr>CoatRefLT</vt:lpstr>
      <vt:lpstr>CorrMarge</vt:lpstr>
      <vt:lpstr>CorrSnelh</vt:lpstr>
      <vt:lpstr>CorrTempBounds</vt:lpstr>
      <vt:lpstr>DroogNatWissel</vt:lpstr>
      <vt:lpstr>FaalGevolgCat</vt:lpstr>
      <vt:lpstr>FaalkansKlassen</vt:lpstr>
      <vt:lpstr>IsolatieMateriaal</vt:lpstr>
      <vt:lpstr>KleurJN</vt:lpstr>
      <vt:lpstr>Leeftijd</vt:lpstr>
      <vt:lpstr>LimitsMOTBF</vt:lpstr>
      <vt:lpstr>Materialen</vt:lpstr>
      <vt:lpstr>NatDroogRiskMatrix</vt:lpstr>
      <vt:lpstr>NDT_Kosten</vt:lpstr>
      <vt:lpstr>NDT_Techn</vt:lpstr>
      <vt:lpstr>NDTEff</vt:lpstr>
      <vt:lpstr>NDTEffRatings</vt:lpstr>
      <vt:lpstr>Toelichting!Print_Area</vt:lpstr>
      <vt:lpstr>ProcessTemp</vt:lpstr>
      <vt:lpstr>ResFaalkans</vt:lpstr>
      <vt:lpstr>Risk_MOTBF</vt:lpstr>
      <vt:lpstr>SkinTemp</vt:lpstr>
      <vt:lpstr>TSA_LTE</vt:lpstr>
      <vt:lpstr>Typicals</vt:lpstr>
      <vt:lpstr>ZoutRisico</vt:lpstr>
      <vt:lpstr>ZoutRiskMatrix</vt:lpstr>
    </vt:vector>
  </TitlesOfParts>
  <Company>Stork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Tool om opbouw aanpak te definiëren.</dc:title>
  <dc:subject>RBI Strategie definitie.</dc:subject>
  <dc:creator>Geert Henk Wijnants</dc:creator>
  <cp:keywords>Laatste update 24Maart20</cp:keywords>
  <cp:lastModifiedBy>Geert Henk Wijnants</cp:lastModifiedBy>
  <cp:lastPrinted>2019-10-15T16:39:55Z</cp:lastPrinted>
  <dcterms:created xsi:type="dcterms:W3CDTF">2018-12-19T14:24:03Z</dcterms:created>
  <dcterms:modified xsi:type="dcterms:W3CDTF">2020-08-26T08:43:57Z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0x0101001F2039ADD5E94A4BB0B15B5FB7ADAC87</vt:lpwstr>
  </property>
</Properties>
</file>