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harts/style2.xml" ContentType="application/vnd.ms-office.chartstyle+xml"/>
  <Override PartName="/xl/charts/chart2.xml" ContentType="application/vnd.openxmlformats-officedocument.drawingml.chart+xml"/>
  <Override PartName="/xl/charts/colors1.xml" ContentType="application/vnd.ms-office.chartcolorstyle+xml"/>
  <Override PartName="/xl/charts/colors2.xml" ContentType="application/vnd.ms-office.chartcolorstyle+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harts/style1.xml" ContentType="application/vnd.ms-office.chartstyle+xml"/>
  <Override PartName="/xl/drawings/drawing2.xml" ContentType="application/vnd.openxmlformats-officedocument.drawing+xml"/>
  <Override PartName="/xl/externalLinks/externalLink1.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2.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TORK_PC\Geerthenk.wijnants\Stork\Projecten\WCM_CUI\(2020) FollowUp\"/>
    </mc:Choice>
  </mc:AlternateContent>
  <bookViews>
    <workbookView xWindow="0" yWindow="0" windowWidth="19200" windowHeight="10860"/>
  </bookViews>
  <sheets>
    <sheet name="Toelichting" sheetId="2" r:id="rId1"/>
    <sheet name="Gap-analyse" sheetId="1" r:id="rId2"/>
    <sheet name="Resultaat" sheetId="3" r:id="rId3"/>
    <sheet name="Kosten_Baten NEN-EN 16991" sheetId="4" r:id="rId4"/>
  </sheets>
  <externalReferences>
    <externalReference r:id="rId5"/>
    <externalReference r:id="rId6"/>
  </externalReferences>
  <definedNames>
    <definedName name="CoatGen">'[1]Coating bescherming'!$D$12:$E$12</definedName>
    <definedName name="CoatGenScore">'[1]Coating bescherming'!$H$12:$I$12</definedName>
    <definedName name="CoatIsol">'[1]Coating bescherming'!$D$15:$G$15</definedName>
    <definedName name="CoatIsolScor">'[1]Coating bescherming'!$H$15:$K$15</definedName>
    <definedName name="CoatLifetime" comment="De verwachte levensduur van de coating, op basis van de diverse invloedsfactoren. Zie uitwerking op tab [Coating bescherming]">[1]Installatie!$C$25</definedName>
    <definedName name="CoatOntw">'[1]Coating bescherming'!$D$13:$F$13</definedName>
    <definedName name="CoatOntwScor">'[1]Coating bescherming'!$H$13:$J$13</definedName>
    <definedName name="CoatProc">'[1]Coating bescherming'!$D$14:$G$14</definedName>
    <definedName name="CoatProcScor">'[1]Coating bescherming'!$H$14:$K$14</definedName>
    <definedName name="CoatProd">'[1]Coating bescherming'!$D$11:$F$11</definedName>
    <definedName name="CoatProdScor">'[1]Coating bescherming'!$H$11:$J$11</definedName>
    <definedName name="CoatRefLT">'[1]Coating bescherming'!$B$18</definedName>
    <definedName name="CorrMarge" comment="De corrosie marge die (geacht wordt) representatief (te zijn) is voor de betreffende installatie.">[1]Installatie!$C$8</definedName>
    <definedName name="CorrRVS">[2]Instellingen!$S$34:$T$34</definedName>
    <definedName name="CorrSnelh" comment="De corrosie snelheid zoals van toepassing met de beschikbare gegevens.">[1]CorrosieModel!$E$44</definedName>
    <definedName name="CorrTempBounds" localSheetId="3">[1]CorrosieModel!$D$47:$J$47</definedName>
    <definedName name="CorrTempBounds">[2]Instellingen!$T$23:$Z$23</definedName>
    <definedName name="DroogNatWissel" localSheetId="3">[1]CorrosieModel!$C$48:$C$50</definedName>
    <definedName name="DroogNatWissel">[2]Instellingen!$S$24:$S$26</definedName>
    <definedName name="ExpCorrDam">[2]Instellingen!$V$12:$V$16</definedName>
    <definedName name="FaalGevolgCat" comment="De categorie voor de gevolgen van falen, zoals van toepassing in de specifieke casus.">[1]Installatie!$D$41</definedName>
    <definedName name="FaalkansKlassen">'[1]NDT Effectiviteit'!$H$44:$M$44</definedName>
    <definedName name="IsolatieMateriaal" localSheetId="3">[1]CorrosieModel!$B$72:$B$78</definedName>
    <definedName name="IsolatieMateriaal">[2]Instellingen!$T$3:$T$9</definedName>
    <definedName name="KleurJN" localSheetId="3">[1]CorrosieModel!$A$47</definedName>
    <definedName name="KleurJN">[2]Installatie!$G$1</definedName>
    <definedName name="Leeftijd">[1]Faalkans!$C$4</definedName>
    <definedName name="LimitsMOTBF">'Kosten_Baten NEN-EN 16991'!$AB$28:$AF$28</definedName>
    <definedName name="Materialen">[1]Faalkans!$B$17:$B$21</definedName>
    <definedName name="NatDroogRiskMatrix" localSheetId="3">[1]CorrosieModel!$D$48:$J$50</definedName>
    <definedName name="NatDroogRiskMatrix">[2]Instellingen!$T$24:$Z$26</definedName>
    <definedName name="NDT_Techn" localSheetId="3">'[1]NDT Effectiviteit'!$P$2:$P$12</definedName>
    <definedName name="NDT_Techn" comment="Lijst van momenteel toegepaste NDO technieken.">[2]Instellingen!$O$3:$O$13</definedName>
    <definedName name="NDTEff" localSheetId="3">'Kosten_Baten NEN-EN 16991'!$L$18:$N$22</definedName>
    <definedName name="NDTEff">[2]Instellingen!$P$16:$R$20</definedName>
    <definedName name="NDTEffRatings" comment="De effectiviteit van de betreffend NDT techniek, zoals toegekend middels de effectiviteits classificatie." localSheetId="3">'[1]NDT Effectiviteit'!$C$14:$M$19</definedName>
    <definedName name="NDTEffRatings">[2]Instellingen!$C$15:$M$20</definedName>
    <definedName name="_xlnm.Print_Area" localSheetId="1">'Gap-analyse'!$A$1:$J$43</definedName>
    <definedName name="_xlnm.Print_Area" localSheetId="3">'Kosten_Baten NEN-EN 16991'!$A$1:$O$43</definedName>
    <definedName name="_xlnm.Print_Area" localSheetId="2">Resultaat!$A$1:$B$7</definedName>
    <definedName name="_xlnm.Print_Area" localSheetId="0">Toelichting!$C$4:$F$36</definedName>
    <definedName name="ProcessTemp">[1]Installatie!$C$13</definedName>
    <definedName name="ResFaalkans">'[1]NDT Effectiviteit'!$H$45:$M$49</definedName>
    <definedName name="Risk_MOTBF" localSheetId="3">'Kosten_Baten NEN-EN 16991'!$AB$29:$AF$33</definedName>
    <definedName name="Risk_MOTBF">'[2]NEN-EN 16991'!$AB$3:$AF$7</definedName>
    <definedName name="SkinTemp">[1]Faalkans!$C$3</definedName>
    <definedName name="TblIsolStimuFact">[2]Instellingen!$T$3:$U$9</definedName>
    <definedName name="TempRVS">[2]Instellingen!$S$33:$T$33</definedName>
    <definedName name="TSA_LTE" localSheetId="3">'[1]Coating bescherming'!$B$19</definedName>
    <definedName name="TSA_LTE">[2]Instellingen!$Z$36</definedName>
    <definedName name="Typicals" localSheetId="3">'[1]NDT Effectiviteit'!$B$14:$B$19</definedName>
    <definedName name="Typicals">[2]Instellingen!$B$15:$B$20</definedName>
    <definedName name="ZoutRisico" localSheetId="3">[1]CorrosieModel!$B$53:$B$55</definedName>
    <definedName name="ZoutRisico">[2]Instellingen!$R$29:$R$31</definedName>
    <definedName name="ZoutRiskMatrix" localSheetId="3">[1]CorrosieModel!$D$53:$J$55</definedName>
    <definedName name="ZoutRiskMatrix">[2]Instellingen!$T$29:$Z$31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3" l="1"/>
  <c r="D25" i="4" l="1"/>
  <c r="D17" i="4" l="1"/>
  <c r="AF33" i="4"/>
  <c r="AE33" i="4"/>
  <c r="AD33" i="4"/>
  <c r="AC33" i="4"/>
  <c r="AB33" i="4"/>
  <c r="Z33" i="4"/>
  <c r="Y33" i="4"/>
  <c r="X33" i="4"/>
  <c r="W33" i="4"/>
  <c r="V33" i="4"/>
  <c r="T33" i="4"/>
  <c r="S33" i="4"/>
  <c r="R33" i="4"/>
  <c r="Q33" i="4"/>
  <c r="P33" i="4"/>
  <c r="AF32" i="4"/>
  <c r="AE32" i="4"/>
  <c r="AD32" i="4"/>
  <c r="AC32" i="4"/>
  <c r="AB32" i="4"/>
  <c r="Z32" i="4"/>
  <c r="Y32" i="4"/>
  <c r="X32" i="4"/>
  <c r="W32" i="4"/>
  <c r="V32" i="4"/>
  <c r="T32" i="4"/>
  <c r="S32" i="4"/>
  <c r="R32" i="4"/>
  <c r="Q32" i="4"/>
  <c r="P32" i="4"/>
  <c r="AF31" i="4"/>
  <c r="AE31" i="4"/>
  <c r="AD31" i="4"/>
  <c r="AC31" i="4"/>
  <c r="AB31" i="4"/>
  <c r="Z31" i="4"/>
  <c r="Y31" i="4"/>
  <c r="X31" i="4"/>
  <c r="W31" i="4"/>
  <c r="V31" i="4"/>
  <c r="T31" i="4"/>
  <c r="S31" i="4"/>
  <c r="R31" i="4"/>
  <c r="Q31" i="4"/>
  <c r="P31" i="4"/>
  <c r="E31" i="4"/>
  <c r="E32" i="4" s="1"/>
  <c r="E33" i="4" s="1"/>
  <c r="AF30" i="4"/>
  <c r="AE30" i="4"/>
  <c r="AD30" i="4"/>
  <c r="AC30" i="4"/>
  <c r="AB30" i="4"/>
  <c r="Z30" i="4"/>
  <c r="Y30" i="4"/>
  <c r="X30" i="4"/>
  <c r="W30" i="4"/>
  <c r="V30" i="4"/>
  <c r="T30" i="4"/>
  <c r="S30" i="4"/>
  <c r="R30" i="4"/>
  <c r="Q30" i="4"/>
  <c r="P30" i="4"/>
  <c r="AF29" i="4"/>
  <c r="AE29" i="4"/>
  <c r="AD29" i="4"/>
  <c r="AC29" i="4"/>
  <c r="AB29" i="4"/>
  <c r="Z29" i="4"/>
  <c r="Y29" i="4"/>
  <c r="X29" i="4"/>
  <c r="W29" i="4"/>
  <c r="V29" i="4"/>
  <c r="T29" i="4"/>
  <c r="S29" i="4"/>
  <c r="R29" i="4"/>
  <c r="Q29" i="4"/>
  <c r="P29" i="4"/>
  <c r="AB28" i="4"/>
  <c r="V28" i="4"/>
  <c r="P28" i="4"/>
  <c r="J18" i="1" l="1"/>
  <c r="J15" i="1"/>
  <c r="J11" i="1"/>
  <c r="J3" i="1"/>
  <c r="J37" i="1"/>
  <c r="J30" i="1"/>
  <c r="J27" i="1"/>
  <c r="B4" i="3" s="1"/>
  <c r="E19" i="4" s="1"/>
  <c r="F19" i="4" s="1"/>
  <c r="D35" i="1"/>
  <c r="H3" i="1"/>
  <c r="B2" i="3" s="1"/>
  <c r="D27" i="1"/>
  <c r="D20" i="1"/>
  <c r="D13" i="1"/>
  <c r="D9" i="1"/>
  <c r="D4" i="1"/>
  <c r="A4" i="3" s="1"/>
  <c r="E18" i="4" s="1"/>
  <c r="F18" i="4" s="1"/>
  <c r="G21" i="4" l="1"/>
  <c r="G20" i="4"/>
  <c r="G25" i="4" s="1"/>
  <c r="G23" i="4" s="1"/>
  <c r="H23" i="4" s="1"/>
  <c r="H21" i="4" l="1"/>
</calcChain>
</file>

<file path=xl/comments1.xml><?xml version="1.0" encoding="utf-8"?>
<comments xmlns="http://schemas.openxmlformats.org/spreadsheetml/2006/main">
  <authors>
    <author>Geert Henk Wijnants</author>
  </authors>
  <commentList>
    <comment ref="C33" authorId="0" shapeId="0">
      <text>
        <r>
          <rPr>
            <b/>
            <sz val="9"/>
            <color indexed="81"/>
            <rFont val="Tahoma"/>
            <family val="2"/>
          </rPr>
          <t>Nota bene:</t>
        </r>
        <r>
          <rPr>
            <sz val="9"/>
            <color indexed="81"/>
            <rFont val="Tahoma"/>
            <family val="2"/>
          </rPr>
          <t xml:space="preserve">
Dit betreft de vraag of de diameter van het object is meegenomen als selectiecriterium voor de geschikte techniek.</t>
        </r>
      </text>
    </comment>
    <comment ref="C36" authorId="0" shapeId="0">
      <text>
        <r>
          <rPr>
            <b/>
            <sz val="9"/>
            <color indexed="81"/>
            <rFont val="Tahoma"/>
            <family val="2"/>
          </rPr>
          <t>Nota bene:</t>
        </r>
        <r>
          <rPr>
            <sz val="9"/>
            <color indexed="81"/>
            <rFont val="Tahoma"/>
            <family val="2"/>
          </rPr>
          <t xml:space="preserve">
De kosteneffectiviteit omvat de kosten van de techniek én de kosten van falen bij al dan niet toepassen van de techniek.</t>
        </r>
      </text>
    </comment>
  </commentList>
</comments>
</file>

<file path=xl/comments2.xml><?xml version="1.0" encoding="utf-8"?>
<comments xmlns="http://schemas.openxmlformats.org/spreadsheetml/2006/main">
  <authors>
    <author>Geert Henk Wijnants</author>
  </authors>
  <commentList>
    <comment ref="B14" authorId="0" shapeId="0">
      <text>
        <r>
          <rPr>
            <b/>
            <sz val="9"/>
            <color indexed="81"/>
            <rFont val="Tahoma"/>
            <family val="2"/>
          </rPr>
          <t>Andere manier van kijken naar deze vraag:</t>
        </r>
        <r>
          <rPr>
            <sz val="9"/>
            <color indexed="81"/>
            <rFont val="Tahoma"/>
            <family val="2"/>
          </rPr>
          <t xml:space="preserve">
Staat de installatie er goed bij?
Dus isolatie afgedicht, géén openingen (soms vanaf de aanleg) en beschadigingen waardoor vocht de installatie in kan lekken.</t>
        </r>
      </text>
    </comment>
    <comment ref="P29" authorId="0" shapeId="0">
      <text>
        <r>
          <rPr>
            <b/>
            <sz val="9"/>
            <color indexed="81"/>
            <rFont val="Tahoma"/>
            <family val="2"/>
          </rPr>
          <t>Geert Henk Wijnants:</t>
        </r>
        <r>
          <rPr>
            <sz val="9"/>
            <color indexed="81"/>
            <rFont val="Tahoma"/>
            <family val="2"/>
          </rPr>
          <t xml:space="preserve">
Hier een stap van 10 genomen voor de POF, nét zoals de stappen in POF van 4 naar 3 etc.</t>
        </r>
      </text>
    </comment>
    <comment ref="Z29" authorId="0" shapeId="0">
      <text>
        <r>
          <rPr>
            <b/>
            <sz val="9"/>
            <color indexed="81"/>
            <rFont val="Tahoma"/>
            <family val="2"/>
          </rPr>
          <t>Geert Henk Wijnants:</t>
        </r>
        <r>
          <rPr>
            <sz val="9"/>
            <color indexed="81"/>
            <rFont val="Tahoma"/>
            <family val="2"/>
          </rPr>
          <t xml:space="preserve">
Hier 10 keer zo grote waarde genomen, net zoals in de stappen van A-D.</t>
        </r>
      </text>
    </comment>
    <comment ref="AB33" authorId="0" shapeId="0">
      <text>
        <r>
          <rPr>
            <b/>
            <sz val="9"/>
            <color indexed="81"/>
            <rFont val="Tahoma"/>
            <family val="2"/>
          </rPr>
          <t>Berekening:</t>
        </r>
        <r>
          <rPr>
            <sz val="9"/>
            <color indexed="81"/>
            <rFont val="Tahoma"/>
            <family val="2"/>
          </rPr>
          <t xml:space="preserve">
In de noemer staat de gemiddelde stapgrootte waarmee de volgende gemiddelde kanscategorie is toegenomen tov de vorige.</t>
        </r>
      </text>
    </comment>
    <comment ref="J42" authorId="0" shapeId="0">
      <text>
        <r>
          <rPr>
            <b/>
            <sz val="9"/>
            <color indexed="81"/>
            <rFont val="Tahoma"/>
            <family val="2"/>
          </rPr>
          <t>Remark:</t>
        </r>
        <r>
          <rPr>
            <sz val="9"/>
            <color indexed="81"/>
            <rFont val="Tahoma"/>
            <family val="2"/>
          </rPr>
          <t xml:space="preserve">
This value has been added, based on the previous steps of 0,2.</t>
        </r>
      </text>
    </comment>
  </commentList>
</comments>
</file>

<file path=xl/sharedStrings.xml><?xml version="1.0" encoding="utf-8"?>
<sst xmlns="http://schemas.openxmlformats.org/spreadsheetml/2006/main" count="285" uniqueCount="264">
  <si>
    <t>Toetsings kader:</t>
  </si>
  <si>
    <t>Risicobeoordeling zoals verwerkt in "Best Practise voor Risk Based CUI Management".</t>
  </si>
  <si>
    <t>Bij de toetsing wordt geverifieerd in hoeverre de volgende elementen aanwezig zijn:</t>
  </si>
  <si>
    <t>Risicobeoordeling:</t>
  </si>
  <si>
    <t>Corrosie snelheid:</t>
  </si>
  <si>
    <t>Levensduur coating:</t>
  </si>
  <si>
    <t>NDO Effectiviteit:</t>
  </si>
  <si>
    <t>NDO Doelmatigheid:</t>
  </si>
  <si>
    <t>Risicobeoordeling kwantitatief met berekening kans x kosten:</t>
  </si>
  <si>
    <t>Risicobeoordeling bevat wettelijk perspectief op fataliteit (&lt; 10^-4):</t>
  </si>
  <si>
    <t>Bepalen risico op basis van beschikbare corrosie marge:</t>
  </si>
  <si>
    <t>Onderscheid staal / RVS:</t>
  </si>
  <si>
    <t>Op basis van temperatuur:</t>
  </si>
  <si>
    <t>Op basis van aantal wisselingen:</t>
  </si>
  <si>
    <t>Afhankelijkheid van soort milieu (omgeving):</t>
  </si>
  <si>
    <t>Afhankelijkheid van soort isolatie:</t>
  </si>
  <si>
    <t>Afhankelijk van conditie (toestand) van isolatie (lekdicht):</t>
  </si>
  <si>
    <t>Onderscheid coating / TSA:</t>
  </si>
  <si>
    <t>Beoordeeld op basis van bewezen ervaring:</t>
  </si>
  <si>
    <t>Inbreng generatie van de coating:</t>
  </si>
  <si>
    <t>Inbreng van conserveerbaarheid vanuit ontwerp:</t>
  </si>
  <si>
    <t>Inbreng werkproces én mate van ervaring applicateur:</t>
  </si>
  <si>
    <t>Wijze van beheer van de isolatie:</t>
  </si>
  <si>
    <t>Inbreng soort van de onderzoeken object (typical):</t>
  </si>
  <si>
    <t>Hanteert afweging van meest kosteneffectieve methode:</t>
  </si>
  <si>
    <t>Kent opties stralen/schilderen, screening en vervolg, RTF, upgrade:</t>
  </si>
  <si>
    <t xml:space="preserve">Onderscheid screening (corrosie detectie), vocht detectie, wanddikte (conditie): </t>
  </si>
  <si>
    <t>Verwerkt vereist niveau van dekking (onderzoeks percentage):</t>
  </si>
  <si>
    <t>Verwerkt vereist niveau van risico reductie:</t>
  </si>
  <si>
    <t>Onderscheid naar te onderzoeken diameter:</t>
  </si>
  <si>
    <t>Onderscheid naar te onderzoeken wanddikte:</t>
  </si>
  <si>
    <t>Maakt gebruik van overzicht van effectiviteit van toe te passen technieken:</t>
  </si>
  <si>
    <r>
      <t xml:space="preserve">Management framework: </t>
    </r>
    <r>
      <rPr>
        <sz val="10"/>
        <color theme="1"/>
        <rFont val="Trebuchet MS"/>
        <family val="2"/>
      </rPr>
      <t>(gericht op verbetercyclus met evaluatie etc.)</t>
    </r>
  </si>
  <si>
    <t>Kent een structuur met eigenaarschap en verbetercyclus (conform ISO HLS):</t>
  </si>
  <si>
    <t>Heeft een planmatige aanpak met verdeling van activiteiten over de jaren:</t>
  </si>
  <si>
    <t>Bevat een budgetopbouw die gebaseerd is op de benodigde besteding:</t>
  </si>
  <si>
    <t>Evalueert afwijkingen waarbij het toegepaste systeem heeft gefaald:</t>
  </si>
  <si>
    <t>1:  Gap-analyse ten opzichte van de BP Risk Based CUI management; tooling</t>
  </si>
  <si>
    <t>Beoordeling op basis van de toetsingscriteria zoals verwerkt in de best practise.</t>
  </si>
  <si>
    <t>Continue verbetering</t>
  </si>
  <si>
    <t>Toepassing RCA's bij falen van systeem</t>
  </si>
  <si>
    <t>Acteren op geconstateerde afwijkingen</t>
  </si>
  <si>
    <t>Bevat directiebeoordeling</t>
  </si>
  <si>
    <t>Directiebeoordeling bevat beslissingen tbv aanpassing</t>
  </si>
  <si>
    <t>Aanpak wordt planmatig geïmplementeerd</t>
  </si>
  <si>
    <t>Aanpak wordt gepland geaudit</t>
  </si>
  <si>
    <t>Prestaties van het systeem worden geevalueerd</t>
  </si>
  <si>
    <t>Bewijs van effectiviteit van aanpak wordt gedocumenteerd.</t>
  </si>
  <si>
    <t>Benodigde monitoring is bepaald en uitgewerkt</t>
  </si>
  <si>
    <t>Kwaliteit uitbesteed werk wordt gecontroleerd aan systeem eisen</t>
  </si>
  <si>
    <t>Wijzigingen worden gecontroleerd</t>
  </si>
  <si>
    <t>Uitgevoerde processen worden gecontroleerd tov eisen</t>
  </si>
  <si>
    <t>Beoogde doelen voor CUI management zijn expliciet gemaakt</t>
  </si>
  <si>
    <t>Belanghebbenden zijn geïdentificeerd en hun eisen zijn benoemd.</t>
  </si>
  <si>
    <t>Verwerking van die eisen is bij senior management belegd</t>
  </si>
  <si>
    <t>Behoeften en eisen zijn verwerkt via bedrijfswaarden matrix</t>
  </si>
  <si>
    <t>Scope en inhoud van aanpak zijn benoemd</t>
  </si>
  <si>
    <t>Toepassingsgebied ligt gedocumenteerd vast</t>
  </si>
  <si>
    <t>Aanpak is geïmplementeerd conform ISO HLS, incl. verbeterloops</t>
  </si>
  <si>
    <t>Het beleid is beschikbaar voor geïnteresseerden en wordt gecommuniceerd.</t>
  </si>
  <si>
    <t>Bevoegdheden en rollen m.b.t. CUI management zijn belegd en gecommuniceerd.</t>
  </si>
  <si>
    <t>Wijze van omgang met risico's en evaluatie daarvan ligt vast</t>
  </si>
  <si>
    <t>Doelstellingen uit de aanpak zijn naar functies en niveau's vertaald.</t>
  </si>
  <si>
    <t>Doelstellingen zijn SMART vastgelegd en worden gevolgd.</t>
  </si>
  <si>
    <t>2:  Gap-analyse ten opzichte van de BP Risk Based CUI management; best practise</t>
  </si>
  <si>
    <t>Kader:</t>
  </si>
  <si>
    <t>Benodigde competenties zijn vastgesteld en aantoonbaar aanwezig.</t>
  </si>
  <si>
    <t>Betrokken personen zijn zich bewust van hun effect op de aanpak.</t>
  </si>
  <si>
    <t>Communicatie, intern én extern, m.b.t. aanpak is uitgewerkt.</t>
  </si>
  <si>
    <t>De toegepaste aanpak is gedocumenteerd conform HLS</t>
  </si>
  <si>
    <t>Documentatie is traceerbaar, gedateerd en status ligt vast.</t>
  </si>
  <si>
    <t>De gedocumenteerde informatie wordt beheerd.</t>
  </si>
  <si>
    <t>Eisen mbt het beheer zijn uitgewerkt (opslag, wijziging, bewaartermijnen)</t>
  </si>
  <si>
    <t>Externe relevante documentatie wordt beheerd.</t>
  </si>
  <si>
    <t xml:space="preserve">
</t>
  </si>
  <si>
    <t>World Class Maintenance.</t>
  </si>
  <si>
    <t>Project:</t>
  </si>
  <si>
    <t>Risk Based Corrosie Onder Isolatie Management.</t>
  </si>
  <si>
    <t>De beschrijving van die onderdelen is samengevat in de definitieve versie van deze tool.</t>
  </si>
  <si>
    <t>Daarnaast functioneert de tool ook als test voor de praktijkgerichtheid van het eindresultaat.</t>
  </si>
  <si>
    <t>Het daarbij gehanteerde motto is: "een expliciet beslisproces is in een beslismodel te vatten".</t>
  </si>
  <si>
    <r>
      <rPr>
        <b/>
        <sz val="10"/>
        <color theme="1"/>
        <rFont val="Trebuchet MS"/>
        <family val="2"/>
      </rPr>
      <t>Gebruikte kleur codering:</t>
    </r>
    <r>
      <rPr>
        <b/>
        <sz val="9"/>
        <color theme="1"/>
        <rFont val="Trebuchet MS"/>
        <family val="2"/>
      </rPr>
      <t xml:space="preserve"> </t>
    </r>
    <r>
      <rPr>
        <sz val="9"/>
        <color theme="1"/>
        <rFont val="Trebuchet MS"/>
        <family val="2"/>
      </rPr>
      <t>(standaard vlgs Microsoft Excel):</t>
    </r>
  </si>
  <si>
    <t>Invoer van gegevens (input):</t>
  </si>
  <si>
    <t>Input</t>
  </si>
  <si>
    <t>Gegevensinvoer niet nodig:</t>
  </si>
  <si>
    <t>(betreft gegevens die, afhankelijk van andere gegevens, al dan niet nodig zijn)</t>
  </si>
  <si>
    <t>Resultaat van invoer (output):</t>
  </si>
  <si>
    <t>Output</t>
  </si>
  <si>
    <t>Ontwikkelingen:</t>
  </si>
  <si>
    <t>Tool die toegepaste methoden voor CUI management toetst aan de Best Practise voor Risk Based CUI Management.</t>
  </si>
  <si>
    <t>Dit werkblad bevat een uitwerking van de tool om een toegepaste methode voor CUI mangement te beoordelen.</t>
  </si>
  <si>
    <t>Het beoogt daarmee een handreiking te geven aan een asset owner voor mogelijkheden voor effectiviteits verbetering</t>
  </si>
  <si>
    <t>De uitwerking van de verschillende projectonderdelen is gebaseerd op een "default" risk based aanpak vanuit de RB-CUI management tool.</t>
  </si>
  <si>
    <t>Deze tool is als hulpmiddel beschikbaar voor diegenen die de door hen toegepaste aanpak willen evalueren.</t>
  </si>
  <si>
    <t>• Opgestelde PDF met daarin de best practise conform de ISO HLS opzet.                                   PDF.</t>
  </si>
  <si>
    <r>
      <t>•</t>
    </r>
    <r>
      <rPr>
        <sz val="8.5"/>
        <rFont val="Trebuchet MS"/>
        <family val="2"/>
      </rPr>
      <t xml:space="preserve"> </t>
    </r>
    <r>
      <rPr>
        <sz val="10"/>
        <rFont val="Trebuchet MS"/>
        <family val="2"/>
      </rPr>
      <t>Opgestelde tool voor risk based CUI management.                                                                  Tab: Installatie.</t>
    </r>
  </si>
  <si>
    <t>• De toetsing van het toegepaste CUI management aan de hand van de opgestelde best practise.    Tab: GAP-analyse</t>
  </si>
  <si>
    <t>• De toetsing van het toegepaste CUI management aan de hand van de beschikbare tooling.            Tab: GAP-analyse</t>
  </si>
  <si>
    <t>Afhankelijk van het niveau van de organisatie kan getoetst worden op tooling resp. op tooling én de concept beheersing (ISO HLS)</t>
  </si>
  <si>
    <t>Dit is te beschouwen als een toetsing op niveau I resp. niveau II.</t>
  </si>
  <si>
    <t>N.b.: als er alleen documentatie is zónder uitvoerende werkprocessen, is eea sowieso niet geïmplementeerd en het resultaat dus 0.</t>
  </si>
  <si>
    <t>Op termijn wordt voorzien dat er na toetsing een (geanonimieeerd) overzicht kan worden gemaakt van de meest voorkomende gaps.</t>
  </si>
  <si>
    <t>Dit zal in staat stellen tot gedetailleerdere suggesties en initiatieven voor gerichte verbetering.</t>
  </si>
  <si>
    <t>Doordat dit soort ontwikkelingen nog geen "bewezen praktijk" zijn, zijn die nu niet verwerkt in deze "add-on" van de best practise.</t>
  </si>
  <si>
    <t>GAP- analyse van de toegepaste methode voor CUI management ten opzichte van de WCM Best practise.</t>
  </si>
  <si>
    <t>Context van de organisatie:</t>
  </si>
  <si>
    <t>Leiderschap:</t>
  </si>
  <si>
    <t>Planning:</t>
  </si>
  <si>
    <t>Ondersteuning:</t>
  </si>
  <si>
    <t>Uitvoering:</t>
  </si>
  <si>
    <t>Evaluatie van de prestaties:</t>
  </si>
  <si>
    <t>Verbetering:</t>
  </si>
  <si>
    <t>Auteur</t>
  </si>
  <si>
    <t>Opmerkingen:</t>
  </si>
  <si>
    <t>Effectiviteits-reductie (factor) ten opzichte van de BP referentie, uitgaande van een lineair effect (1= maximaal):</t>
  </si>
  <si>
    <t>Er is een beleid voor uitrol van het werkproces geïmplementeerd.</t>
  </si>
  <si>
    <t>Door de relatie te leggen met het niveau van risico-reductie, kan daarmee effectief gestuurd worden op meer effectief beheer.</t>
  </si>
  <si>
    <t xml:space="preserve">Risk matrix; Table 3; NEN-EN 16991; </t>
  </si>
  <si>
    <t>Voor betekenis van termen, ga in een cel staan.</t>
  </si>
  <si>
    <t>Lower limits calc.</t>
  </si>
  <si>
    <t>POF</t>
  </si>
  <si>
    <t>Upper limits calc.</t>
  </si>
  <si>
    <t>Averaged limits calc.</t>
  </si>
  <si>
    <t>MOTBF</t>
  </si>
  <si>
    <t>U_Limit</t>
  </si>
  <si>
    <t>PoF annual</t>
  </si>
  <si>
    <t>PoF_U_Limit</t>
  </si>
  <si>
    <t>Qualitative</t>
  </si>
  <si>
    <t>Description:</t>
  </si>
  <si>
    <t>Cat.</t>
  </si>
  <si>
    <t>Probability of Failure / Likelyhood</t>
  </si>
  <si>
    <t>&lt; 1 Year</t>
  </si>
  <si>
    <r>
      <t>&gt; 10</t>
    </r>
    <r>
      <rPr>
        <vertAlign val="superscript"/>
        <sz val="10"/>
        <color theme="1"/>
        <rFont val="Trebuchet MS"/>
        <family val="2"/>
      </rPr>
      <t>-2</t>
    </r>
  </si>
  <si>
    <t>Very probable</t>
  </si>
  <si>
    <t>In a small population*, one or more failures can be expected annually.</t>
  </si>
  <si>
    <t>Failure has occurred several times a year in location.</t>
  </si>
  <si>
    <t>Very High risk</t>
  </si>
  <si>
    <t>1-5 Years</t>
  </si>
  <si>
    <r>
      <t>10</t>
    </r>
    <r>
      <rPr>
        <vertAlign val="superscript"/>
        <sz val="10"/>
        <color theme="1"/>
        <rFont val="Trebuchet MS"/>
        <family val="2"/>
      </rPr>
      <t>-3</t>
    </r>
    <r>
      <rPr>
        <sz val="10"/>
        <color theme="1"/>
        <rFont val="Trebuchet MS"/>
        <family val="2"/>
      </rPr>
      <t xml:space="preserve"> to 10</t>
    </r>
    <r>
      <rPr>
        <vertAlign val="superscript"/>
        <sz val="10"/>
        <color theme="1"/>
        <rFont val="Trebuchet MS"/>
        <family val="2"/>
      </rPr>
      <t>-2</t>
    </r>
  </si>
  <si>
    <t>Probable</t>
  </si>
  <si>
    <t>In a large population**, one or more failures can be expected annually.</t>
  </si>
  <si>
    <t>Failure has occurred several times a year in operating company.</t>
  </si>
  <si>
    <t>High risk</t>
  </si>
  <si>
    <t>5-25 years</t>
  </si>
  <si>
    <r>
      <t>10</t>
    </r>
    <r>
      <rPr>
        <vertAlign val="superscript"/>
        <sz val="10"/>
        <color theme="1"/>
        <rFont val="Trebuchet MS"/>
        <family val="2"/>
      </rPr>
      <t>-4</t>
    </r>
    <r>
      <rPr>
        <sz val="10"/>
        <color theme="1"/>
        <rFont val="Trebuchet MS"/>
        <family val="2"/>
      </rPr>
      <t xml:space="preserve"> to 10</t>
    </r>
    <r>
      <rPr>
        <vertAlign val="superscript"/>
        <sz val="10"/>
        <color theme="1"/>
        <rFont val="Trebuchet MS"/>
        <family val="2"/>
      </rPr>
      <t>-3</t>
    </r>
  </si>
  <si>
    <t>Possible</t>
  </si>
  <si>
    <t>Several failures may occur during the life of the installation for a system comprising or a small number of equipment.</t>
  </si>
  <si>
    <t>Failure has occurred in company.</t>
  </si>
  <si>
    <t>Medium risk</t>
  </si>
  <si>
    <t>25-120 years</t>
  </si>
  <si>
    <r>
      <t>10</t>
    </r>
    <r>
      <rPr>
        <vertAlign val="superscript"/>
        <sz val="10"/>
        <color theme="1"/>
        <rFont val="Trebuchet MS"/>
        <family val="2"/>
      </rPr>
      <t>-5</t>
    </r>
    <r>
      <rPr>
        <sz val="10"/>
        <color theme="1"/>
        <rFont val="Trebuchet MS"/>
        <family val="2"/>
      </rPr>
      <t xml:space="preserve"> to 10</t>
    </r>
    <r>
      <rPr>
        <vertAlign val="superscript"/>
        <sz val="10"/>
        <color theme="1"/>
        <rFont val="Trebuchet MS"/>
        <family val="2"/>
      </rPr>
      <t>-4</t>
    </r>
  </si>
  <si>
    <t>Unlikely</t>
  </si>
  <si>
    <t>Several failures may occur during the life of the installation for a system comprising of a large number of equipment</t>
  </si>
  <si>
    <t>Failure has occurred in industry</t>
  </si>
  <si>
    <t>Low risk</t>
  </si>
  <si>
    <t>&gt; 125 years</t>
  </si>
  <si>
    <r>
      <t>&lt; 10</t>
    </r>
    <r>
      <rPr>
        <vertAlign val="superscript"/>
        <sz val="10"/>
        <color theme="1"/>
        <rFont val="Trebuchet MS"/>
        <family val="2"/>
      </rPr>
      <t>-5</t>
    </r>
  </si>
  <si>
    <t>Very unlikely</t>
  </si>
  <si>
    <t>Failure is not expected</t>
  </si>
  <si>
    <t>Failure has not occurred in industry.</t>
  </si>
  <si>
    <t>Very low
(negligible risk)</t>
  </si>
  <si>
    <t>Notes:</t>
  </si>
  <si>
    <t>A</t>
  </si>
  <si>
    <t>B</t>
  </si>
  <si>
    <t>C</t>
  </si>
  <si>
    <t>D</t>
  </si>
  <si>
    <t>E</t>
  </si>
  <si>
    <t>*  Small population = 20 to 50 items of equipment</t>
  </si>
  <si>
    <t>**  Large population = More than 50 items of equipment</t>
  </si>
  <si>
    <t>Health</t>
  </si>
  <si>
    <t>Safety</t>
  </si>
  <si>
    <t>Environment</t>
  </si>
  <si>
    <t>Business (€)</t>
  </si>
  <si>
    <t>Security</t>
  </si>
  <si>
    <t>Loss of reputation</t>
  </si>
  <si>
    <t>Public disruption</t>
  </si>
  <si>
    <t>Aktie mbt risicoreductie:</t>
  </si>
  <si>
    <t>Consequence of Failure / Severity</t>
  </si>
  <si>
    <t>Warning issued.
No effect.</t>
  </si>
  <si>
    <t>No aid needed.
Work disruption.</t>
  </si>
  <si>
    <t>Negligible impact.</t>
  </si>
  <si>
    <t>None</t>
  </si>
  <si>
    <t>Risico's verwaarloosbaar.</t>
  </si>
  <si>
    <t>Warning issued.
Possible impact.</t>
  </si>
  <si>
    <t>First aid needed.
No work disability.</t>
  </si>
  <si>
    <t>Impact (e.g. spill) contained.</t>
  </si>
  <si>
    <t>On-site (Local)</t>
  </si>
  <si>
    <t>Minor</t>
  </si>
  <si>
    <t>Negligible</t>
  </si>
  <si>
    <t>Risico's acceptabel.</t>
  </si>
  <si>
    <t>Temporary health problems,
curable</t>
  </si>
  <si>
    <t>Temporaty work disability.</t>
  </si>
  <si>
    <t>Minor impact (e.g. spill)</t>
  </si>
  <si>
    <t>On-site (General)</t>
  </si>
  <si>
    <t>Bad publicity</t>
  </si>
  <si>
    <t>Risico's beperken zonder specifieke eisen.</t>
  </si>
  <si>
    <t>Limited impact on public health, threat of chronic diseases</t>
  </si>
  <si>
    <t>Permanent work disability.</t>
  </si>
  <si>
    <t>On-site damage.</t>
  </si>
  <si>
    <t>Off site</t>
  </si>
  <si>
    <t>Company issue</t>
  </si>
  <si>
    <t>Small community</t>
  </si>
  <si>
    <t>Risico's aantoonbaar met een bewezen factor 10-100 terugbrengen tot "gele zone"</t>
  </si>
  <si>
    <t>Serious impact on public health, life threatening illness</t>
  </si>
  <si>
    <t>Fatalities.</t>
  </si>
  <si>
    <t>Off-site damage.
Long term effect.</t>
  </si>
  <si>
    <t>Society threat</t>
  </si>
  <si>
    <t>Political issue</t>
  </si>
  <si>
    <t>Large community</t>
  </si>
  <si>
    <t>Onacceptabel risico; herontwerp noodzakelijk.</t>
  </si>
  <si>
    <t>Conclusie:</t>
  </si>
  <si>
    <r>
      <rPr>
        <sz val="10"/>
        <color theme="1"/>
        <rFont val="Wingdings"/>
        <charset val="2"/>
      </rPr>
      <t>ñ</t>
    </r>
    <r>
      <rPr>
        <sz val="8.5"/>
        <color theme="1"/>
        <rFont val="Trebuchet MS"/>
        <family val="2"/>
      </rPr>
      <t xml:space="preserve"> </t>
    </r>
    <r>
      <rPr>
        <sz val="10"/>
        <color theme="1"/>
        <rFont val="Trebuchet MS"/>
        <family val="2"/>
      </rPr>
      <t>Inspectie interval correctie factor. Afhankelijk van gevolgen.</t>
    </r>
  </si>
  <si>
    <t>Met de risicomatrix zoals weergegeven, komt het risico in kostenweergave in alle situties overeen met het risico in kleurweergave.</t>
  </si>
  <si>
    <t>De kleurweergave is daarbij aangepast, waarbij de categorie &gt; 125 met de hoogste consequenties nu geel is geworden (= vermijden indien haalbaar).</t>
  </si>
  <si>
    <t>Het argument waarom een serious impact met laagste frequentie, geel mag zijn, is dat dit reasonable worst case niet voorkomt tijdens de levensduur van de installatie.</t>
  </si>
  <si>
    <r>
      <t>Uitgangspunt is dat de installatie veilig is ontworpen, dus dat vanuit het ontwerp aan veiligheidsniveau met kans op fataal incident &lt; 10</t>
    </r>
    <r>
      <rPr>
        <vertAlign val="superscript"/>
        <sz val="10"/>
        <color theme="1"/>
        <rFont val="Trebuchet MS"/>
        <family val="2"/>
      </rPr>
      <t>-5</t>
    </r>
    <r>
      <rPr>
        <sz val="10"/>
        <color theme="1"/>
        <rFont val="Trebuchet MS"/>
        <family val="2"/>
      </rPr>
      <t xml:space="preserve"> jr</t>
    </r>
    <r>
      <rPr>
        <vertAlign val="superscript"/>
        <sz val="10"/>
        <color theme="1"/>
        <rFont val="Trebuchet MS"/>
        <family val="2"/>
      </rPr>
      <t>-1</t>
    </r>
    <r>
      <rPr>
        <sz val="10"/>
        <color theme="1"/>
        <rFont val="Trebuchet MS"/>
        <family val="2"/>
      </rPr>
      <t xml:space="preserve"> wordt voldaan.</t>
    </r>
  </si>
  <si>
    <t>De schijnbare discrepantie tussen TTF en faalkans is gelegen in het feit dat de faalkans verondersteld wordt aanwezig te zijn binnen de aangegeven TTF periode.</t>
  </si>
  <si>
    <r>
      <t>(Denk aan faalkans van accu is 10</t>
    </r>
    <r>
      <rPr>
        <vertAlign val="superscript"/>
        <sz val="10"/>
        <color theme="1"/>
        <rFont val="Trebuchet MS"/>
        <family val="2"/>
      </rPr>
      <t>-4</t>
    </r>
    <r>
      <rPr>
        <sz val="10"/>
        <color theme="1"/>
        <rFont val="Trebuchet MS"/>
        <family val="2"/>
      </rPr>
      <t xml:space="preserve"> binnen de levensduur van een accu cq TTF van 4 jaar).</t>
    </r>
  </si>
  <si>
    <t>De faalkans is daarbij leidend aangezien op het moment van verwacht falen de faalkans toeneemt tot 1, wat gangbaar wordt voorkomen door reparatie / vervanging.</t>
  </si>
  <si>
    <t>Toelichting op dit werkblad:</t>
  </si>
  <si>
    <t>Kosten-Baten analyse bij toepassen Risk Based COI Management aanpak.</t>
  </si>
  <si>
    <t>Uitgangspunten:</t>
  </si>
  <si>
    <t>Als COI management NIET op orde is kan dit leiden tot een faalsituatie in de installatie, met een - door het falen - gedwongen tijdelijke "outage"/ trip / uitbedrijfname.</t>
  </si>
  <si>
    <t>Afhankelijk van het type installatie is herstel en opnieuw in bedrijf nemen mogelijk. Dit bepaalt natuurlijk mede de kosten cq het verlies.</t>
  </si>
  <si>
    <t>Afhankelijk van de algehele staat van de installatie, varieert de kans op een incident.</t>
  </si>
  <si>
    <t>De basis vraag is daarbij: is het gezien gebruiksomstandigheden (temperaturen) en de installaties waarvoor COI een issue is, falen mogelijk?</t>
  </si>
  <si>
    <t>Afhankelijk van die vraag zijn de kosten van het COI faalscenario dan te begroten.</t>
  </si>
  <si>
    <t>Dit gebeurt gebruik makend van de risicomodule zoals die in de COI Best Practise is toegepast.</t>
  </si>
  <si>
    <t>Vragen:</t>
  </si>
  <si>
    <t>Falen door COI mogelijk?</t>
  </si>
  <si>
    <t>Gevolgen; Health:</t>
  </si>
  <si>
    <t>Safety:</t>
  </si>
  <si>
    <t>Enviroment:</t>
  </si>
  <si>
    <t>Business:</t>
  </si>
  <si>
    <t>Security:</t>
  </si>
  <si>
    <t>Loss of reputation:</t>
  </si>
  <si>
    <t>Public disruption:</t>
  </si>
  <si>
    <t>Ja</t>
  </si>
  <si>
    <t>COI profiel:</t>
  </si>
  <si>
    <t>Effectiviteit risicoaanpak:</t>
  </si>
  <si>
    <t>Referentie tabel:</t>
  </si>
  <si>
    <t>Eff. klasse:</t>
  </si>
  <si>
    <t>Red.factor:</t>
  </si>
  <si>
    <t>Dekking:</t>
  </si>
  <si>
    <t>é</t>
  </si>
  <si>
    <t>ê</t>
  </si>
  <si>
    <t>Vragen COI programma:</t>
  </si>
  <si>
    <t>è è è</t>
  </si>
  <si>
    <r>
      <t xml:space="preserve">Dit werkblad bevat een kosten/baten analyse bij het toepassen van COI-management.
De </t>
    </r>
    <r>
      <rPr>
        <b/>
        <sz val="10"/>
        <color theme="8" tint="-0.249977111117893"/>
        <rFont val="Trebuchet MS"/>
        <family val="2"/>
      </rPr>
      <t>baten kant</t>
    </r>
    <r>
      <rPr>
        <sz val="10"/>
        <color theme="8" tint="-0.249977111117893"/>
        <rFont val="Trebuchet MS"/>
        <family val="2"/>
      </rPr>
      <t xml:space="preserve"> is gebaseerd op de begroting van de beperking van de kosten van het risico; de </t>
    </r>
    <r>
      <rPr>
        <b/>
        <sz val="10"/>
        <color theme="8" tint="-0.249977111117893"/>
        <rFont val="Trebuchet MS"/>
        <family val="2"/>
      </rPr>
      <t>kosten</t>
    </r>
    <r>
      <rPr>
        <sz val="10"/>
        <color theme="8" tint="-0.249977111117893"/>
        <rFont val="Trebuchet MS"/>
        <family val="2"/>
      </rPr>
      <t xml:space="preserve"> betreffen de kosten voor het invoeren van het programma.
Dit werkblad bevat een aangepaste versie van de risicomatrix vanuit de NEN-EN 16991.
Deze opzet is door de werkgroep CUI gevalideerd (bijeenkomst van 8Maart19).</t>
    </r>
  </si>
  <si>
    <t>Kosten per jaar (in k€/jr.):</t>
  </si>
  <si>
    <t>In deze tool is gebruik gemaakt van de volgende aangereikte hulpmiddelen:</t>
  </si>
  <si>
    <t>Deze tool heeft die hulpmiddelen toegepast in de vorm van een vergelijkende toets op de volgende plaatsen:</t>
  </si>
  <si>
    <t>Gidsvragen:</t>
  </si>
  <si>
    <t>Zijn er al problemen opgetreden als gevolg van het optreden van COI?</t>
  </si>
  <si>
    <t>Is er toezicht op de installatie en onderhoud van de installatie waardoor de kans op vocht in de isolatie verwaarloosbaar is?</t>
  </si>
  <si>
    <t>Is er een geïsoleerde installatie waarbij COI, als het zich voor zou doen, aanzienlijke problemen op kan leveren?</t>
  </si>
  <si>
    <t>(hieronder is dat dan zichtbaar te maken met behulp van de gevolgen van falen)</t>
  </si>
  <si>
    <t>Heeft die installatie al een dusdanige leeftijd dat COI een probleem kan vormen?</t>
  </si>
  <si>
    <t>Antwoorden:</t>
  </si>
  <si>
    <t>Een voldoende rapport wil niet zeggen dat het geheel effectief is.</t>
  </si>
  <si>
    <t>Dát laten de bovenstaande plaatjes zien.</t>
  </si>
  <si>
    <t>Beschikbare middelen voor CUI management worden toegepast.</t>
  </si>
  <si>
    <t>Directie heeft CUI management geïmplementeerd binnen de strategie</t>
  </si>
  <si>
    <r>
      <t xml:space="preserve">Bevindingen: </t>
    </r>
    <r>
      <rPr>
        <sz val="10"/>
        <color theme="1"/>
        <rFont val="Trebuchet MS"/>
        <family val="2"/>
      </rPr>
      <t>(algemeen geconstateerde aspecten n.a.v. methode)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</si>
</sst>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64" formatCode="&quot;[∆&quot;0&quot;]&quot;"/>
    <numFmt numFmtId="165" formatCode="0.0"/>
    <numFmt numFmtId="166" formatCode="&quot;Opgemaakt d.d.: &quot;d/m/yyyy\ hh:mm"/>
    <numFmt numFmtId="167" formatCode="&quot;Door: &quot;@"/>
    <numFmt numFmtId="168" formatCode="0.000"/>
    <numFmt numFmtId="169" formatCode="0&quot; Yr.&quot;"/>
    <numFmt numFmtId="170" formatCode="&quot;≤ &quot;0.E+00"/>
    <numFmt numFmtId="171" formatCode="#,##0.0"/>
    <numFmt numFmtId="172" formatCode="&quot;&lt; &quot;#,##0&quot; k€&quot;"/>
    <numFmt numFmtId="173" formatCode="&quot;&gt; &quot;#,##0&quot; k€&quot;"/>
    <numFmt numFmtId="174" formatCode="#,##0&quot; k€/jr&quot;"/>
    <numFmt numFmtId="175" formatCode="&quot;HLS: &quot;0.000"/>
    <numFmt numFmtId="176" formatCode="&quot;Tool: &quot;0.000"/>
    <numFmt numFmtId="177" formatCode="&quot;Gemiddeld: &quot;#,##0&quot; k€/jr&quot;"/>
    <numFmt numFmtId="178" formatCode="&quot;Onzekerheid: &quot;#,##0&quot; k€/jr&quot;"/>
    <numFmt numFmtId="179" formatCode="&quot;oftewel &quot;0.0%&quot; marge.&quot;"/>
    <numFmt numFmtId="180" formatCode="0%&quot; Risk red.&quot;"/>
    <numFmt numFmtId="181" formatCode="&quot;Gemiddeld resterend: &quot;#,##0&quot; k€/jr&quot;"/>
    <numFmt numFmtId="182" formatCode="&quot;Gem. verdiencap.: &quot;#,##0&quot; k€/jr&quot;"/>
    <numFmt numFmtId="183" formatCode="&quot;Rendement.: &quot;#,##0&quot; k€/jr&quot;_ ;[Red]&quot;Rendement.: &quot;\-#,##0&quot; k€/jr&quot;"/>
  </numFmts>
  <fonts count="25" x14ac:knownFonts="1">
    <font>
      <sz val="10"/>
      <color theme="1"/>
      <name val="Trebuchet MS"/>
      <family val="2"/>
    </font>
    <font>
      <sz val="10"/>
      <color rgb="FF3F3F76"/>
      <name val="Trebuchet MS"/>
      <family val="2"/>
    </font>
    <font>
      <b/>
      <sz val="10"/>
      <color rgb="FF3F3F3F"/>
      <name val="Trebuchet MS"/>
      <family val="2"/>
    </font>
    <font>
      <b/>
      <sz val="10"/>
      <color theme="1"/>
      <name val="Trebuchet MS"/>
      <family val="2"/>
    </font>
    <font>
      <sz val="10"/>
      <color theme="0"/>
      <name val="Trebuchet MS"/>
      <family val="2"/>
    </font>
    <font>
      <b/>
      <sz val="20"/>
      <color theme="1"/>
      <name val="Trebuchet MS"/>
      <family val="2"/>
    </font>
    <font>
      <b/>
      <sz val="9"/>
      <color theme="1"/>
      <name val="Trebuchet MS"/>
      <family val="2"/>
    </font>
    <font>
      <sz val="9"/>
      <color theme="1"/>
      <name val="Trebuchet MS"/>
      <family val="2"/>
    </font>
    <font>
      <sz val="10"/>
      <name val="Trebuchet MS"/>
      <family val="2"/>
    </font>
    <font>
      <sz val="8.5"/>
      <name val="Trebuchet MS"/>
      <family val="2"/>
    </font>
    <font>
      <i/>
      <sz val="10"/>
      <color theme="1"/>
      <name val="Trebuchet MS"/>
      <family val="2"/>
    </font>
    <font>
      <b/>
      <sz val="14"/>
      <color theme="1"/>
      <name val="Trebuchet MS"/>
      <family val="2"/>
    </font>
    <font>
      <b/>
      <sz val="13"/>
      <color theme="1"/>
      <name val="Trebuchet MS"/>
      <family val="2"/>
    </font>
    <font>
      <b/>
      <sz val="12"/>
      <color theme="1"/>
      <name val="Trebuchet MS"/>
      <family val="2"/>
    </font>
    <font>
      <b/>
      <sz val="9"/>
      <color indexed="81"/>
      <name val="Tahoma"/>
      <family val="2"/>
    </font>
    <font>
      <sz val="9"/>
      <color indexed="81"/>
      <name val="Tahoma"/>
      <family val="2"/>
    </font>
    <font>
      <b/>
      <sz val="10"/>
      <color theme="0"/>
      <name val="Trebuchet MS"/>
      <family val="2"/>
    </font>
    <font>
      <sz val="10"/>
      <color rgb="FFFF0000"/>
      <name val="Trebuchet MS"/>
      <family val="2"/>
    </font>
    <font>
      <sz val="10"/>
      <color theme="1" tint="0.499984740745262"/>
      <name val="Trebuchet MS"/>
      <family val="2"/>
    </font>
    <font>
      <vertAlign val="superscript"/>
      <sz val="10"/>
      <color theme="1"/>
      <name val="Trebuchet MS"/>
      <family val="2"/>
    </font>
    <font>
      <sz val="10"/>
      <color theme="1"/>
      <name val="Wingdings"/>
      <charset val="2"/>
    </font>
    <font>
      <sz val="8.5"/>
      <color theme="1"/>
      <name val="Trebuchet MS"/>
      <family val="2"/>
    </font>
    <font>
      <b/>
      <sz val="10"/>
      <color theme="8" tint="-0.249977111117893"/>
      <name val="Trebuchet MS"/>
      <family val="2"/>
    </font>
    <font>
      <sz val="10"/>
      <color theme="8" tint="-0.249977111117893"/>
      <name val="Trebuchet MS"/>
      <family val="2"/>
    </font>
    <font>
      <sz val="10"/>
      <color theme="1"/>
      <name val="Trebuchet MS"/>
      <family val="2"/>
    </font>
  </fonts>
  <fills count="22">
    <fill>
      <patternFill patternType="none"/>
    </fill>
    <fill>
      <patternFill patternType="gray125"/>
    </fill>
    <fill>
      <patternFill patternType="solid">
        <fgColor rgb="FFFFCC99"/>
      </patternFill>
    </fill>
    <fill>
      <patternFill patternType="solid">
        <fgColor rgb="FFF2F2F2"/>
      </patternFill>
    </fill>
    <fill>
      <patternFill patternType="solid">
        <fgColor rgb="FFE6E6E6"/>
        <bgColor indexed="64"/>
      </patternFill>
    </fill>
    <fill>
      <patternFill patternType="solid">
        <fgColor theme="4" tint="-0.249977111117893"/>
        <bgColor indexed="64"/>
      </patternFill>
    </fill>
    <fill>
      <patternFill patternType="solid">
        <fgColor theme="0"/>
        <bgColor indexed="64"/>
      </patternFill>
    </fill>
    <fill>
      <patternFill patternType="lightGray">
        <bgColor rgb="FFFFCC99"/>
      </patternFill>
    </fill>
    <fill>
      <patternFill patternType="solid">
        <fgColor theme="0" tint="-0.249977111117893"/>
        <bgColor indexed="64"/>
      </patternFill>
    </fill>
    <fill>
      <patternFill patternType="solid">
        <fgColor rgb="FFCCFFCC"/>
        <bgColor indexed="64"/>
      </patternFill>
    </fill>
    <fill>
      <patternFill patternType="solid">
        <fgColor rgb="FF66FF33"/>
        <bgColor indexed="64"/>
      </patternFill>
    </fill>
    <fill>
      <patternFill patternType="solid">
        <fgColor rgb="FFFFFF00"/>
        <bgColor indexed="64"/>
      </patternFill>
    </fill>
    <fill>
      <patternFill patternType="solid">
        <fgColor rgb="FFFF0000"/>
        <bgColor indexed="64"/>
      </patternFill>
    </fill>
    <fill>
      <patternFill patternType="solid">
        <fgColor rgb="FFC00000"/>
        <bgColor indexed="64"/>
      </patternFill>
    </fill>
    <fill>
      <gradientFill>
        <stop position="0">
          <color theme="0"/>
        </stop>
        <stop position="1">
          <color rgb="FFEAEAEA"/>
        </stop>
      </gradientFill>
    </fill>
    <fill>
      <patternFill patternType="solid">
        <fgColor rgb="FFEAEAEA"/>
        <bgColor indexed="64"/>
      </patternFill>
    </fill>
    <fill>
      <patternFill patternType="solid">
        <fgColor theme="8" tint="0.59996337778862885"/>
        <bgColor indexed="64"/>
      </patternFill>
    </fill>
    <fill>
      <gradientFill degree="180">
        <stop position="0">
          <color theme="0"/>
        </stop>
        <stop position="1">
          <color theme="8" tint="0.59999389629810485"/>
        </stop>
      </gradientFill>
    </fill>
    <fill>
      <gradientFill degree="90">
        <stop position="0">
          <color theme="0"/>
        </stop>
        <stop position="1">
          <color theme="0" tint="-0.1490218817712943"/>
        </stop>
      </gradientFill>
    </fill>
    <fill>
      <patternFill patternType="solid">
        <fgColor theme="0" tint="-4.9989318521683403E-2"/>
        <bgColor indexed="64"/>
      </patternFill>
    </fill>
    <fill>
      <patternFill patternType="solid">
        <fgColor theme="0" tint="-0.14999847407452621"/>
        <bgColor indexed="64"/>
      </patternFill>
    </fill>
    <fill>
      <gradientFill degree="90">
        <stop position="0">
          <color theme="0"/>
        </stop>
        <stop position="1">
          <color theme="0" tint="-5.0965910824915313E-2"/>
        </stop>
      </gradientFill>
    </fill>
  </fills>
  <borders count="6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theme="8" tint="0.39994506668294322"/>
      </left>
      <right/>
      <top style="medium">
        <color theme="8" tint="0.39994506668294322"/>
      </top>
      <bottom/>
      <diagonal/>
    </border>
    <border>
      <left/>
      <right/>
      <top style="medium">
        <color theme="8" tint="0.39994506668294322"/>
      </top>
      <bottom/>
      <diagonal/>
    </border>
    <border>
      <left/>
      <right style="medium">
        <color theme="8" tint="-0.499984740745262"/>
      </right>
      <top style="medium">
        <color theme="8" tint="0.39994506668294322"/>
      </top>
      <bottom/>
      <diagonal/>
    </border>
    <border>
      <left style="medium">
        <color theme="8" tint="0.39994506668294322"/>
      </left>
      <right/>
      <top/>
      <bottom/>
      <diagonal/>
    </border>
    <border>
      <left/>
      <right/>
      <top/>
      <bottom style="medium">
        <color theme="8" tint="-0.499984740745262"/>
      </bottom>
      <diagonal/>
    </border>
    <border>
      <left/>
      <right style="medium">
        <color theme="8" tint="-0.499984740745262"/>
      </right>
      <top/>
      <bottom/>
      <diagonal/>
    </border>
    <border>
      <left style="medium">
        <color theme="8" tint="0.39994506668294322"/>
      </left>
      <right style="medium">
        <color theme="8" tint="-0.499984740745262"/>
      </right>
      <top/>
      <bottom/>
      <diagonal/>
    </border>
    <border>
      <left style="medium">
        <color theme="8" tint="0.39994506668294322"/>
      </left>
      <right/>
      <top/>
      <bottom style="medium">
        <color theme="8" tint="-0.499984740745262"/>
      </bottom>
      <diagonal/>
    </border>
    <border>
      <left/>
      <right style="medium">
        <color theme="8" tint="-0.499984740745262"/>
      </right>
      <top/>
      <bottom style="medium">
        <color theme="8" tint="-0.499984740745262"/>
      </bottom>
      <diagonal/>
    </border>
    <border>
      <left/>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auto="1"/>
      </right>
      <top/>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medium">
        <color auto="1"/>
      </top>
      <bottom style="thin">
        <color auto="1"/>
      </bottom>
      <diagonal/>
    </border>
    <border>
      <left style="dotted">
        <color auto="1"/>
      </left>
      <right style="medium">
        <color auto="1"/>
      </right>
      <top/>
      <bottom style="medium">
        <color auto="1"/>
      </bottom>
      <diagonal/>
    </border>
    <border>
      <left/>
      <right/>
      <top style="thin">
        <color auto="1"/>
      </top>
      <bottom style="thin">
        <color auto="1"/>
      </bottom>
      <diagonal/>
    </border>
    <border>
      <left style="dotted">
        <color auto="1"/>
      </left>
      <right/>
      <top/>
      <bottom style="medium">
        <color auto="1"/>
      </bottom>
      <diagonal/>
    </border>
    <border>
      <left style="dotted">
        <color auto="1"/>
      </left>
      <right/>
      <top/>
      <bottom/>
      <diagonal/>
    </border>
    <border>
      <left style="dotted">
        <color auto="1"/>
      </left>
      <right/>
      <top/>
      <bottom style="dotted">
        <color auto="1"/>
      </bottom>
      <diagonal/>
    </border>
    <border>
      <left/>
      <right/>
      <top/>
      <bottom style="dotted">
        <color auto="1"/>
      </bottom>
      <diagonal/>
    </border>
    <border>
      <left/>
      <right/>
      <top style="thin">
        <color theme="8" tint="-0.24994659260841701"/>
      </top>
      <bottom style="medium">
        <color theme="8" tint="-0.24994659260841701"/>
      </bottom>
      <diagonal/>
    </border>
    <border>
      <left/>
      <right/>
      <top/>
      <bottom style="medium">
        <color theme="8" tint="-0.24994659260841701"/>
      </bottom>
      <diagonal/>
    </border>
    <border>
      <left/>
      <right/>
      <top style="medium">
        <color theme="8" tint="-0.2499465926084170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diagonal/>
    </border>
    <border>
      <left style="thin">
        <color auto="1"/>
      </left>
      <right style="medium">
        <color auto="1"/>
      </right>
      <top/>
      <bottom/>
      <diagonal/>
    </border>
    <border>
      <left style="thin">
        <color rgb="FF7F7F7F"/>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rgb="FF7F7F7F"/>
      </left>
      <right style="dashed">
        <color auto="1"/>
      </right>
      <top/>
      <bottom/>
      <diagonal/>
    </border>
    <border>
      <left style="thin">
        <color rgb="FF7F7F7F"/>
      </left>
      <right style="dashed">
        <color auto="1"/>
      </right>
      <top/>
      <bottom style="dashed">
        <color auto="1"/>
      </bottom>
      <diagonal/>
    </border>
    <border>
      <left style="thin">
        <color rgb="FF7F7F7F"/>
      </left>
      <right/>
      <top style="medium">
        <color auto="1"/>
      </top>
      <bottom/>
      <diagonal/>
    </border>
    <border>
      <left style="thin">
        <color rgb="FF7F7F7F"/>
      </left>
      <right/>
      <top/>
      <bottom/>
      <diagonal/>
    </border>
    <border>
      <left style="medium">
        <color auto="1"/>
      </left>
      <right style="thin">
        <color auto="1"/>
      </right>
      <top style="medium">
        <color auto="1"/>
      </top>
      <bottom style="thin">
        <color theme="0" tint="-0.34998626667073579"/>
      </bottom>
      <diagonal/>
    </border>
    <border>
      <left style="medium">
        <color auto="1"/>
      </left>
      <right style="thin">
        <color auto="1"/>
      </right>
      <top style="thin">
        <color theme="0" tint="-0.34998626667073579"/>
      </top>
      <bottom style="thin">
        <color theme="0" tint="-0.34998626667073579"/>
      </bottom>
      <diagonal/>
    </border>
    <border>
      <left style="medium">
        <color auto="1"/>
      </left>
      <right style="thin">
        <color auto="1"/>
      </right>
      <top style="thin">
        <color theme="0" tint="-0.34998626667073579"/>
      </top>
      <bottom style="medium">
        <color auto="1"/>
      </bottom>
      <diagonal/>
    </border>
    <border>
      <left/>
      <right/>
      <top style="thin">
        <color auto="1"/>
      </top>
      <bottom style="double">
        <color auto="1"/>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theme="0"/>
      </left>
      <right style="thin">
        <color theme="0"/>
      </right>
      <top style="double">
        <color auto="1"/>
      </top>
      <bottom/>
      <diagonal/>
    </border>
    <border>
      <left style="thin">
        <color theme="0"/>
      </left>
      <right/>
      <top style="double">
        <color auto="1"/>
      </top>
      <bottom/>
      <diagonal/>
    </border>
    <border>
      <left style="thin">
        <color theme="0" tint="-0.14996795556505021"/>
      </left>
      <right style="thin">
        <color theme="0"/>
      </right>
      <top style="double">
        <color auto="1"/>
      </top>
      <bottom/>
      <diagonal/>
    </border>
    <border>
      <left style="thin">
        <color theme="0" tint="-0.14996795556505021"/>
      </left>
      <right style="thin">
        <color theme="0"/>
      </right>
      <top/>
      <bottom/>
      <diagonal/>
    </border>
    <border>
      <left/>
      <right/>
      <top/>
      <bottom style="medium">
        <color theme="0" tint="-0.24994659260841701"/>
      </bottom>
      <diagonal/>
    </border>
  </borders>
  <cellStyleXfs count="4">
    <xf numFmtId="0" fontId="0" fillId="0" borderId="0"/>
    <xf numFmtId="0" fontId="1" fillId="2" borderId="1" applyNumberFormat="0" applyAlignment="0" applyProtection="0"/>
    <xf numFmtId="0" fontId="2" fillId="3" borderId="2" applyNumberFormat="0" applyAlignment="0" applyProtection="0"/>
    <xf numFmtId="0" fontId="24" fillId="0" borderId="0"/>
  </cellStyleXfs>
  <cellXfs count="166">
    <xf numFmtId="0" fontId="0" fillId="0" borderId="0" xfId="0"/>
    <xf numFmtId="0" fontId="3" fillId="0" borderId="0" xfId="0" applyFont="1" applyAlignment="1">
      <alignment horizontal="left" indent="1"/>
    </xf>
    <xf numFmtId="0" fontId="0" fillId="0" borderId="0" xfId="0" applyAlignment="1">
      <alignment horizontal="left" indent="1"/>
    </xf>
    <xf numFmtId="0" fontId="0" fillId="0" borderId="0" xfId="0" applyAlignment="1">
      <alignment horizontal="left" vertical="center" indent="1"/>
    </xf>
    <xf numFmtId="0" fontId="3" fillId="0" borderId="0" xfId="0" applyFont="1" applyAlignment="1">
      <alignment horizontal="left" vertical="center" indent="1"/>
    </xf>
    <xf numFmtId="0" fontId="0" fillId="0" borderId="0" xfId="0" applyFill="1" applyBorder="1" applyAlignment="1">
      <alignment horizontal="left" vertical="center" indent="1"/>
    </xf>
    <xf numFmtId="0" fontId="1" fillId="2" borderId="1" xfId="1" applyAlignment="1">
      <alignment horizontal="center" vertical="center"/>
    </xf>
    <xf numFmtId="164" fontId="0" fillId="0" borderId="0" xfId="0" applyNumberFormat="1" applyAlignment="1">
      <alignment horizontal="right" vertical="center" indent="1"/>
    </xf>
    <xf numFmtId="0" fontId="0" fillId="0" borderId="0" xfId="0" applyAlignment="1">
      <alignment horizontal="left" vertical="center" indent="1" shrinkToFit="1"/>
    </xf>
    <xf numFmtId="0" fontId="0" fillId="4" borderId="0" xfId="0" applyFill="1"/>
    <xf numFmtId="0" fontId="0" fillId="0" borderId="0" xfId="0" applyAlignment="1">
      <alignment wrapText="1"/>
    </xf>
    <xf numFmtId="0" fontId="0" fillId="5" borderId="3" xfId="0" applyFill="1" applyBorder="1"/>
    <xf numFmtId="0" fontId="0" fillId="5" borderId="4" xfId="0" applyFill="1" applyBorder="1"/>
    <xf numFmtId="0" fontId="0" fillId="5" borderId="5" xfId="0" applyFill="1" applyBorder="1"/>
    <xf numFmtId="0" fontId="0" fillId="5" borderId="0" xfId="0" applyFill="1"/>
    <xf numFmtId="0" fontId="0" fillId="5" borderId="6" xfId="0" applyFill="1" applyBorder="1"/>
    <xf numFmtId="0" fontId="0" fillId="5" borderId="7" xfId="0" applyFill="1" applyBorder="1"/>
    <xf numFmtId="0" fontId="4" fillId="5" borderId="8" xfId="0" applyFont="1" applyFill="1" applyBorder="1" applyAlignment="1">
      <alignment horizontal="right" indent="6"/>
    </xf>
    <xf numFmtId="0" fontId="0" fillId="5" borderId="9" xfId="0" applyFill="1" applyBorder="1"/>
    <xf numFmtId="0" fontId="5" fillId="6" borderId="0" xfId="0" applyFont="1" applyFill="1" applyAlignment="1">
      <alignment horizontal="left" indent="1"/>
    </xf>
    <xf numFmtId="0" fontId="0" fillId="6" borderId="0" xfId="0" applyFill="1"/>
    <xf numFmtId="0" fontId="3" fillId="6" borderId="0" xfId="0" applyFont="1" applyFill="1" applyAlignment="1">
      <alignment horizontal="right" indent="1"/>
    </xf>
    <xf numFmtId="0" fontId="0" fillId="6" borderId="0" xfId="0" applyFill="1" applyAlignment="1">
      <alignment horizontal="left" indent="1"/>
    </xf>
    <xf numFmtId="0" fontId="0" fillId="6" borderId="0" xfId="0" applyFill="1" applyAlignment="1">
      <alignment horizontal="right" indent="1"/>
    </xf>
    <xf numFmtId="0" fontId="1" fillId="2" borderId="1" xfId="1" applyAlignment="1">
      <alignment horizontal="left" indent="1"/>
    </xf>
    <xf numFmtId="0" fontId="1" fillId="6" borderId="0" xfId="1" applyFill="1" applyBorder="1" applyAlignment="1">
      <alignment horizontal="left" indent="1"/>
    </xf>
    <xf numFmtId="0" fontId="1" fillId="7" borderId="1" xfId="1" applyFill="1" applyAlignment="1">
      <alignment horizontal="left" indent="1"/>
    </xf>
    <xf numFmtId="0" fontId="2" fillId="3" borderId="2" xfId="2" applyBorder="1" applyAlignment="1">
      <alignment horizontal="left" indent="1"/>
    </xf>
    <xf numFmtId="0" fontId="3" fillId="6" borderId="0" xfId="0" applyFont="1" applyFill="1" applyAlignment="1">
      <alignment horizontal="left" indent="1"/>
    </xf>
    <xf numFmtId="0" fontId="8" fillId="6" borderId="0" xfId="1" quotePrefix="1" applyFont="1" applyFill="1" applyBorder="1" applyAlignment="1">
      <alignment horizontal="left" indent="4"/>
    </xf>
    <xf numFmtId="0" fontId="1" fillId="6" borderId="0" xfId="1" quotePrefix="1" applyFill="1" applyBorder="1" applyAlignment="1">
      <alignment horizontal="left"/>
    </xf>
    <xf numFmtId="0" fontId="0" fillId="6" borderId="0" xfId="0" applyFont="1" applyFill="1" applyAlignment="1">
      <alignment horizontal="left" indent="1"/>
    </xf>
    <xf numFmtId="0" fontId="10" fillId="6" borderId="0" xfId="0" applyFont="1" applyFill="1" applyAlignment="1">
      <alignment horizontal="left" indent="1"/>
    </xf>
    <xf numFmtId="0" fontId="2" fillId="6" borderId="0" xfId="2" applyFill="1" applyBorder="1" applyAlignment="1">
      <alignment horizontal="left" indent="1"/>
    </xf>
    <xf numFmtId="0" fontId="0" fillId="5" borderId="8" xfId="0" applyFill="1" applyBorder="1"/>
    <xf numFmtId="0" fontId="0" fillId="5" borderId="10" xfId="0" applyFill="1" applyBorder="1"/>
    <xf numFmtId="0" fontId="0" fillId="5" borderId="11" xfId="0" applyFill="1" applyBorder="1"/>
    <xf numFmtId="165" fontId="2" fillId="3" borderId="2" xfId="2" applyNumberFormat="1" applyAlignment="1">
      <alignment horizontal="center" vertical="center"/>
    </xf>
    <xf numFmtId="165" fontId="11" fillId="0" borderId="0" xfId="0" applyNumberFormat="1" applyFont="1" applyAlignment="1">
      <alignment horizontal="left" vertical="top" indent="1"/>
    </xf>
    <xf numFmtId="0" fontId="12" fillId="0" borderId="0" xfId="0" applyFont="1" applyAlignment="1">
      <alignment horizontal="left" indent="1"/>
    </xf>
    <xf numFmtId="0" fontId="0" fillId="0" borderId="0" xfId="0" applyAlignment="1">
      <alignment horizontal="left" vertical="center" wrapText="1" indent="1"/>
    </xf>
    <xf numFmtId="166" fontId="0" fillId="0" borderId="0" xfId="0" applyNumberFormat="1" applyAlignment="1">
      <alignment horizontal="left" vertical="center" indent="1"/>
    </xf>
    <xf numFmtId="167" fontId="0" fillId="0" borderId="0" xfId="0" applyNumberFormat="1" applyAlignment="1">
      <alignment horizontal="left" vertical="center" indent="1"/>
    </xf>
    <xf numFmtId="168" fontId="11" fillId="0" borderId="0" xfId="0" applyNumberFormat="1" applyFont="1" applyAlignment="1">
      <alignment horizontal="center" vertical="center" wrapText="1"/>
    </xf>
    <xf numFmtId="0" fontId="13" fillId="0" borderId="0" xfId="0" applyFont="1" applyAlignment="1">
      <alignment horizontal="left" indent="1"/>
    </xf>
    <xf numFmtId="0" fontId="17" fillId="0" borderId="0" xfId="0" applyFont="1" applyAlignment="1">
      <alignment horizontal="left" indent="1"/>
    </xf>
    <xf numFmtId="0" fontId="0" fillId="8" borderId="0" xfId="0" applyFill="1"/>
    <xf numFmtId="0" fontId="3" fillId="0" borderId="0" xfId="0" applyFont="1" applyAlignment="1">
      <alignment horizontal="center" vertical="center"/>
    </xf>
    <xf numFmtId="0" fontId="0" fillId="0" borderId="12" xfId="0" applyBorder="1" applyAlignment="1">
      <alignment horizontal="center" shrinkToFit="1"/>
    </xf>
    <xf numFmtId="0" fontId="18" fillId="9" borderId="13" xfId="0" applyFont="1" applyFill="1" applyBorder="1" applyAlignment="1">
      <alignment horizontal="right" indent="1" shrinkToFit="1"/>
    </xf>
    <xf numFmtId="0" fontId="0" fillId="10" borderId="13" xfId="0" applyFill="1" applyBorder="1" applyAlignment="1">
      <alignment horizontal="right" indent="1" shrinkToFit="1"/>
    </xf>
    <xf numFmtId="0" fontId="0" fillId="11" borderId="13" xfId="0" applyFill="1" applyBorder="1" applyAlignment="1">
      <alignment horizontal="right" indent="1" shrinkToFit="1"/>
    </xf>
    <xf numFmtId="0" fontId="0" fillId="12" borderId="13" xfId="0" applyFill="1" applyBorder="1" applyAlignment="1">
      <alignment horizontal="right" indent="1" shrinkToFit="1"/>
    </xf>
    <xf numFmtId="0" fontId="0" fillId="13" borderId="13" xfId="0" applyFill="1" applyBorder="1" applyAlignment="1">
      <alignment horizontal="right" indent="1" shrinkToFit="1"/>
    </xf>
    <xf numFmtId="0" fontId="0" fillId="0" borderId="0" xfId="0" applyAlignment="1">
      <alignment horizontal="center" vertical="center"/>
    </xf>
    <xf numFmtId="169" fontId="0" fillId="0" borderId="0" xfId="0" applyNumberFormat="1" applyAlignment="1">
      <alignment horizontal="right" vertical="center" indent="1" shrinkToFit="1"/>
    </xf>
    <xf numFmtId="0" fontId="0" fillId="0" borderId="0" xfId="0" applyAlignment="1">
      <alignment horizontal="center" vertical="center" shrinkToFit="1"/>
    </xf>
    <xf numFmtId="170" fontId="0" fillId="0" borderId="0" xfId="0" applyNumberFormat="1" applyAlignment="1">
      <alignment horizontal="right" vertical="center" indent="1" shrinkToFit="1"/>
    </xf>
    <xf numFmtId="0" fontId="13" fillId="0" borderId="0" xfId="0" applyFont="1" applyAlignment="1">
      <alignment horizontal="center" vertical="center"/>
    </xf>
    <xf numFmtId="0" fontId="0" fillId="11" borderId="14" xfId="0" applyFill="1" applyBorder="1" applyAlignment="1">
      <alignment horizontal="center" vertical="center" wrapText="1"/>
    </xf>
    <xf numFmtId="0" fontId="0" fillId="12" borderId="14" xfId="0" applyFill="1" applyBorder="1" applyAlignment="1">
      <alignment horizontal="center" vertical="center" wrapText="1"/>
    </xf>
    <xf numFmtId="0" fontId="0" fillId="13" borderId="14" xfId="0" applyFill="1" applyBorder="1" applyAlignment="1">
      <alignment horizontal="center" vertical="center" wrapText="1"/>
    </xf>
    <xf numFmtId="0" fontId="16" fillId="13" borderId="14" xfId="0" applyFont="1" applyFill="1" applyBorder="1" applyAlignment="1">
      <alignment horizontal="center" vertical="center" wrapText="1"/>
    </xf>
    <xf numFmtId="3" fontId="0" fillId="0" borderId="0" xfId="0" applyNumberFormat="1" applyAlignment="1">
      <alignment horizontal="center" vertical="center" shrinkToFit="1"/>
    </xf>
    <xf numFmtId="0" fontId="0" fillId="0" borderId="0" xfId="0" applyNumberFormat="1" applyAlignment="1">
      <alignment horizontal="center" vertical="center" shrinkToFit="1"/>
    </xf>
    <xf numFmtId="171" fontId="0" fillId="0" borderId="0" xfId="0" applyNumberFormat="1" applyAlignment="1">
      <alignment horizontal="center" vertical="center" shrinkToFit="1"/>
    </xf>
    <xf numFmtId="0" fontId="0" fillId="10" borderId="14" xfId="0" applyFill="1" applyBorder="1" applyAlignment="1">
      <alignment horizontal="center" vertical="center" wrapText="1"/>
    </xf>
    <xf numFmtId="2" fontId="0" fillId="0" borderId="0" xfId="0" applyNumberFormat="1" applyAlignment="1">
      <alignment horizontal="center" vertical="center" shrinkToFit="1"/>
    </xf>
    <xf numFmtId="0" fontId="0" fillId="9" borderId="14" xfId="0" applyFill="1" applyBorder="1" applyAlignment="1">
      <alignment horizontal="center" vertical="center" wrapText="1"/>
    </xf>
    <xf numFmtId="0" fontId="0" fillId="6" borderId="15" xfId="0" applyFill="1" applyBorder="1"/>
    <xf numFmtId="0" fontId="13" fillId="6" borderId="15" xfId="0" applyFont="1" applyFill="1" applyBorder="1" applyAlignment="1">
      <alignment horizontal="center" vertical="center"/>
    </xf>
    <xf numFmtId="0" fontId="3" fillId="0" borderId="12" xfId="0" applyFont="1" applyBorder="1" applyAlignment="1">
      <alignment horizontal="left" indent="1"/>
    </xf>
    <xf numFmtId="0" fontId="0" fillId="0" borderId="12" xfId="0" applyBorder="1" applyAlignment="1">
      <alignment horizontal="left" indent="1"/>
    </xf>
    <xf numFmtId="0" fontId="0" fillId="0" borderId="12" xfId="0" applyBorder="1" applyAlignment="1">
      <alignment horizontal="left" wrapText="1" indent="1"/>
    </xf>
    <xf numFmtId="0" fontId="0" fillId="6" borderId="16" xfId="0" applyFill="1" applyBorder="1"/>
    <xf numFmtId="0" fontId="0" fillId="0" borderId="20" xfId="0" applyBorder="1" applyAlignment="1">
      <alignment horizontal="left" vertical="center" wrapText="1" indent="1"/>
    </xf>
    <xf numFmtId="0" fontId="0" fillId="0" borderId="20" xfId="0" applyBorder="1" applyAlignment="1">
      <alignment horizontal="left" vertical="center" wrapText="1"/>
    </xf>
    <xf numFmtId="172" fontId="0" fillId="0" borderId="20" xfId="0" applyNumberFormat="1" applyBorder="1" applyAlignment="1">
      <alignment horizontal="left" vertical="center" indent="1" shrinkToFit="1"/>
    </xf>
    <xf numFmtId="0" fontId="13" fillId="6" borderId="12" xfId="0" applyFont="1" applyFill="1" applyBorder="1" applyAlignment="1">
      <alignment horizontal="center" vertical="center"/>
    </xf>
    <xf numFmtId="0" fontId="0" fillId="14" borderId="21" xfId="0" applyFill="1" applyBorder="1" applyAlignment="1">
      <alignment horizontal="center" vertical="center"/>
    </xf>
    <xf numFmtId="0" fontId="0" fillId="0" borderId="22" xfId="0" applyBorder="1" applyAlignment="1">
      <alignment horizontal="left" vertical="center" wrapText="1" indent="1"/>
    </xf>
    <xf numFmtId="0" fontId="0" fillId="0" borderId="22" xfId="0" applyBorder="1" applyAlignment="1">
      <alignment horizontal="left" vertical="center" wrapText="1"/>
    </xf>
    <xf numFmtId="172" fontId="0" fillId="0" borderId="22" xfId="0" applyNumberFormat="1" applyBorder="1" applyAlignment="1">
      <alignment horizontal="left" vertical="center" indent="1" shrinkToFit="1"/>
    </xf>
    <xf numFmtId="0" fontId="0" fillId="14" borderId="23" xfId="0" applyFill="1" applyBorder="1" applyAlignment="1">
      <alignment horizontal="center" vertical="center"/>
    </xf>
    <xf numFmtId="0" fontId="0" fillId="0" borderId="22" xfId="0" applyFill="1" applyBorder="1" applyAlignment="1">
      <alignment horizontal="left" vertical="center" wrapText="1" indent="1"/>
    </xf>
    <xf numFmtId="0" fontId="0" fillId="6" borderId="12" xfId="0" applyFill="1" applyBorder="1"/>
    <xf numFmtId="173" fontId="0" fillId="0" borderId="22" xfId="0" applyNumberFormat="1" applyBorder="1" applyAlignment="1">
      <alignment horizontal="left" vertical="center" indent="1" shrinkToFit="1"/>
    </xf>
    <xf numFmtId="0" fontId="17" fillId="14" borderId="23" xfId="0" applyFont="1" applyFill="1" applyBorder="1" applyAlignment="1">
      <alignment horizontal="center" vertical="center"/>
    </xf>
    <xf numFmtId="0" fontId="0" fillId="14" borderId="24" xfId="0" applyFill="1" applyBorder="1"/>
    <xf numFmtId="0" fontId="3" fillId="0" borderId="0" xfId="0" applyFont="1" applyFill="1" applyBorder="1" applyAlignment="1">
      <alignment horizontal="left" vertical="center" wrapText="1" indent="1"/>
    </xf>
    <xf numFmtId="0" fontId="0" fillId="14" borderId="25" xfId="0" applyFill="1" applyBorder="1" applyAlignment="1">
      <alignment horizontal="left" vertical="center" indent="1"/>
    </xf>
    <xf numFmtId="0" fontId="0" fillId="15" borderId="26" xfId="0" applyFill="1" applyBorder="1" applyAlignment="1">
      <alignment horizontal="left" vertical="center" indent="1"/>
    </xf>
    <xf numFmtId="0" fontId="22" fillId="16" borderId="27" xfId="0" applyFont="1" applyFill="1" applyBorder="1" applyAlignment="1">
      <alignment horizontal="left" vertical="center" indent="1"/>
    </xf>
    <xf numFmtId="0" fontId="23" fillId="16" borderId="27" xfId="0" applyFont="1" applyFill="1" applyBorder="1" applyAlignment="1">
      <alignment horizontal="left" vertical="center" indent="1"/>
    </xf>
    <xf numFmtId="0" fontId="23" fillId="17" borderId="28" xfId="0" applyFont="1" applyFill="1" applyBorder="1" applyAlignment="1">
      <alignment horizontal="left" vertical="center" indent="1"/>
    </xf>
    <xf numFmtId="0" fontId="11" fillId="0" borderId="0" xfId="0" applyFont="1" applyAlignment="1">
      <alignment horizontal="left" indent="1"/>
    </xf>
    <xf numFmtId="0" fontId="0" fillId="0" borderId="0" xfId="0" applyAlignment="1">
      <alignment horizontal="right" indent="1"/>
    </xf>
    <xf numFmtId="0" fontId="0" fillId="0" borderId="0" xfId="0" applyAlignment="1">
      <alignment horizontal="right" vertical="center" indent="1"/>
    </xf>
    <xf numFmtId="0" fontId="3" fillId="18" borderId="0" xfId="0" applyFont="1" applyFill="1" applyAlignment="1">
      <alignment horizontal="left" indent="1"/>
    </xf>
    <xf numFmtId="0" fontId="0" fillId="18" borderId="0" xfId="0" applyFill="1"/>
    <xf numFmtId="174" fontId="0" fillId="0" borderId="31" xfId="0" applyNumberFormat="1" applyBorder="1" applyAlignment="1">
      <alignment horizontal="center" vertical="center" shrinkToFit="1"/>
    </xf>
    <xf numFmtId="0" fontId="3" fillId="0" borderId="30" xfId="0" applyFont="1" applyBorder="1" applyAlignment="1">
      <alignment horizontal="left" vertical="center" indent="1" shrinkToFit="1"/>
    </xf>
    <xf numFmtId="177" fontId="0" fillId="0" borderId="32" xfId="0" applyNumberFormat="1" applyBorder="1" applyAlignment="1">
      <alignment horizontal="right" indent="1"/>
    </xf>
    <xf numFmtId="0" fontId="0" fillId="0" borderId="33" xfId="0" applyBorder="1"/>
    <xf numFmtId="178" fontId="0" fillId="0" borderId="34" xfId="0" applyNumberFormat="1" applyBorder="1" applyAlignment="1">
      <alignment horizontal="right" indent="1"/>
    </xf>
    <xf numFmtId="179" fontId="0" fillId="0" borderId="35" xfId="0" applyNumberFormat="1" applyBorder="1" applyAlignment="1">
      <alignment horizontal="left" shrinkToFit="1"/>
    </xf>
    <xf numFmtId="176" fontId="0" fillId="0" borderId="32" xfId="0" applyNumberFormat="1" applyBorder="1" applyAlignment="1">
      <alignment horizontal="center" shrinkToFit="1"/>
    </xf>
    <xf numFmtId="174" fontId="0" fillId="0" borderId="33" xfId="0" applyNumberFormat="1" applyBorder="1" applyAlignment="1">
      <alignment horizontal="center" vertical="center" shrinkToFit="1"/>
    </xf>
    <xf numFmtId="175" fontId="0" fillId="0" borderId="34" xfId="0" applyNumberFormat="1" applyBorder="1" applyAlignment="1">
      <alignment horizontal="center" shrinkToFit="1"/>
    </xf>
    <xf numFmtId="174" fontId="0" fillId="0" borderId="35" xfId="0" applyNumberFormat="1" applyBorder="1" applyAlignment="1">
      <alignment horizontal="center" vertical="center" shrinkToFit="1"/>
    </xf>
    <xf numFmtId="0" fontId="24" fillId="0" borderId="39" xfId="3" applyBorder="1" applyAlignment="1">
      <alignment horizontal="right"/>
    </xf>
    <xf numFmtId="0" fontId="24" fillId="0" borderId="40" xfId="3" applyBorder="1"/>
    <xf numFmtId="0" fontId="24" fillId="0" borderId="41" xfId="3" applyBorder="1"/>
    <xf numFmtId="0" fontId="20" fillId="0" borderId="0" xfId="0" applyFont="1" applyAlignment="1">
      <alignment horizontal="center" vertical="center"/>
    </xf>
    <xf numFmtId="182" fontId="3" fillId="0" borderId="46" xfId="0" applyNumberFormat="1" applyFont="1" applyBorder="1" applyAlignment="1">
      <alignment horizontal="center" shrinkToFit="1"/>
    </xf>
    <xf numFmtId="174" fontId="1" fillId="2" borderId="1" xfId="1" applyNumberFormat="1" applyAlignment="1">
      <alignment horizontal="center" vertical="center" shrinkToFit="1"/>
    </xf>
    <xf numFmtId="183" fontId="3" fillId="0" borderId="46" xfId="0" applyNumberFormat="1" applyFont="1" applyBorder="1" applyAlignment="1">
      <alignment horizontal="center" shrinkToFit="1"/>
    </xf>
    <xf numFmtId="0" fontId="24" fillId="0" borderId="37" xfId="3" applyBorder="1" applyAlignment="1">
      <alignment horizontal="centerContinuous"/>
    </xf>
    <xf numFmtId="0" fontId="24" fillId="0" borderId="38" xfId="3" applyBorder="1" applyAlignment="1">
      <alignment horizontal="centerContinuous"/>
    </xf>
    <xf numFmtId="0" fontId="3" fillId="0" borderId="36" xfId="3" applyFont="1" applyBorder="1" applyAlignment="1">
      <alignment horizontal="centerContinuous"/>
    </xf>
    <xf numFmtId="0" fontId="0" fillId="20" borderId="0" xfId="0" applyFill="1"/>
    <xf numFmtId="0" fontId="0" fillId="20" borderId="0" xfId="0" applyFill="1" applyAlignment="1">
      <alignment horizontal="right" vertical="center" indent="1"/>
    </xf>
    <xf numFmtId="0" fontId="0" fillId="6" borderId="49" xfId="0" applyFill="1" applyBorder="1"/>
    <xf numFmtId="0" fontId="0" fillId="6" borderId="50" xfId="0" applyFill="1" applyBorder="1"/>
    <xf numFmtId="0" fontId="0" fillId="6" borderId="47" xfId="0" applyFill="1" applyBorder="1"/>
    <xf numFmtId="0" fontId="0" fillId="6" borderId="48" xfId="0" applyFill="1" applyBorder="1"/>
    <xf numFmtId="180" fontId="0" fillId="19" borderId="44" xfId="0" applyNumberFormat="1" applyFill="1" applyBorder="1" applyAlignment="1">
      <alignment horizontal="right" indent="1" shrinkToFit="1"/>
    </xf>
    <xf numFmtId="0" fontId="20" fillId="19" borderId="22" xfId="0" applyFont="1" applyFill="1" applyBorder="1"/>
    <xf numFmtId="181" fontId="0" fillId="19" borderId="45" xfId="0" applyNumberFormat="1" applyFill="1" applyBorder="1" applyAlignment="1">
      <alignment horizontal="right" indent="1" shrinkToFit="1"/>
    </xf>
    <xf numFmtId="0" fontId="24" fillId="19" borderId="51" xfId="3" applyFill="1" applyBorder="1" applyAlignment="1">
      <alignment horizontal="center" vertical="center"/>
    </xf>
    <xf numFmtId="0" fontId="24" fillId="19" borderId="52" xfId="3" applyFill="1" applyBorder="1" applyAlignment="1">
      <alignment horizontal="center" vertical="center"/>
    </xf>
    <xf numFmtId="0" fontId="24" fillId="19" borderId="53" xfId="3" applyFill="1" applyBorder="1" applyAlignment="1">
      <alignment horizontal="center" vertical="center"/>
    </xf>
    <xf numFmtId="0" fontId="0" fillId="18" borderId="54" xfId="0" applyFill="1" applyBorder="1"/>
    <xf numFmtId="0" fontId="3" fillId="18" borderId="54" xfId="0" applyFont="1" applyFill="1" applyBorder="1" applyAlignment="1">
      <alignment horizontal="left" indent="1"/>
    </xf>
    <xf numFmtId="0" fontId="0" fillId="21" borderId="54" xfId="0" applyFill="1" applyBorder="1"/>
    <xf numFmtId="9" fontId="24" fillId="0" borderId="42" xfId="3" applyNumberFormat="1" applyBorder="1" applyAlignment="1">
      <alignment horizontal="right" indent="1"/>
    </xf>
    <xf numFmtId="9" fontId="24" fillId="0" borderId="40" xfId="3" applyNumberFormat="1" applyBorder="1" applyAlignment="1">
      <alignment horizontal="right" indent="1"/>
    </xf>
    <xf numFmtId="9" fontId="24" fillId="0" borderId="43" xfId="3" applyNumberFormat="1" applyBorder="1" applyAlignment="1">
      <alignment horizontal="right" indent="1"/>
    </xf>
    <xf numFmtId="0" fontId="24" fillId="0" borderId="41" xfId="3" applyBorder="1" applyAlignment="1">
      <alignment horizontal="right" indent="1"/>
    </xf>
    <xf numFmtId="0" fontId="0" fillId="0" borderId="55" xfId="0" applyBorder="1" applyAlignment="1">
      <alignment horizontal="left" indent="1"/>
    </xf>
    <xf numFmtId="0" fontId="0" fillId="0" borderId="56" xfId="0" applyBorder="1"/>
    <xf numFmtId="0" fontId="0" fillId="0" borderId="57" xfId="0" applyBorder="1"/>
    <xf numFmtId="0" fontId="0" fillId="0" borderId="61" xfId="0" applyBorder="1"/>
    <xf numFmtId="0" fontId="0" fillId="0" borderId="55" xfId="0" applyBorder="1" applyAlignment="1">
      <alignment horizontal="left" indent="3"/>
    </xf>
    <xf numFmtId="0" fontId="3" fillId="0" borderId="62" xfId="0" applyFont="1" applyBorder="1" applyAlignment="1">
      <alignment horizontal="left" indent="1"/>
    </xf>
    <xf numFmtId="0" fontId="1" fillId="2" borderId="1" xfId="1" applyAlignment="1">
      <alignment horizontal="left" vertical="top" wrapText="1" indent="1"/>
    </xf>
    <xf numFmtId="0" fontId="0" fillId="0" borderId="0" xfId="0" applyAlignment="1">
      <alignment horizontal="right" vertical="center" indent="1" shrinkToFit="1"/>
    </xf>
    <xf numFmtId="0" fontId="13" fillId="0" borderId="0" xfId="0" applyFont="1" applyAlignment="1">
      <alignment horizontal="center" vertical="center" wrapText="1"/>
    </xf>
    <xf numFmtId="0" fontId="0" fillId="0" borderId="60" xfId="0" applyBorder="1" applyAlignment="1">
      <alignment horizontal="left" vertical="center" wrapText="1" indent="1"/>
    </xf>
    <xf numFmtId="0" fontId="0" fillId="0" borderId="58" xfId="0" applyBorder="1" applyAlignment="1">
      <alignment horizontal="left" vertical="center" wrapText="1" indent="1"/>
    </xf>
    <xf numFmtId="0" fontId="0" fillId="0" borderId="59" xfId="0" applyBorder="1" applyAlignment="1">
      <alignment horizontal="left" vertical="center" wrapText="1" indent="1"/>
    </xf>
    <xf numFmtId="0" fontId="0" fillId="0" borderId="61" xfId="0" applyBorder="1" applyAlignment="1">
      <alignment horizontal="left" vertical="center" wrapText="1" indent="1"/>
    </xf>
    <xf numFmtId="0" fontId="0" fillId="0" borderId="56" xfId="0" applyBorder="1" applyAlignment="1">
      <alignment horizontal="left" vertical="center" wrapText="1" indent="1"/>
    </xf>
    <xf numFmtId="0" fontId="0" fillId="0" borderId="57" xfId="0" applyBorder="1" applyAlignment="1">
      <alignment horizontal="left" vertical="center" wrapText="1" indent="1"/>
    </xf>
    <xf numFmtId="0" fontId="23" fillId="0" borderId="29" xfId="0" applyFont="1" applyBorder="1" applyAlignment="1">
      <alignment horizontal="left" vertical="top" wrapText="1" indent="1"/>
    </xf>
    <xf numFmtId="0" fontId="3" fillId="0" borderId="0" xfId="0" applyFont="1" applyAlignment="1">
      <alignment horizontal="center" vertical="center" textRotation="90" wrapText="1"/>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0" fillId="9" borderId="0" xfId="0" applyFill="1" applyBorder="1" applyAlignment="1">
      <alignment horizontal="center" vertical="center" wrapText="1"/>
    </xf>
    <xf numFmtId="0" fontId="0" fillId="0" borderId="0" xfId="0" applyBorder="1" applyAlignment="1">
      <alignment wrapText="1"/>
    </xf>
    <xf numFmtId="0" fontId="0" fillId="10" borderId="0" xfId="0" applyFill="1" applyBorder="1" applyAlignment="1">
      <alignment horizontal="center" vertical="center" wrapText="1"/>
    </xf>
    <xf numFmtId="0" fontId="0" fillId="11" borderId="0" xfId="0" applyFill="1" applyBorder="1" applyAlignment="1">
      <alignment horizontal="center" vertical="center" wrapText="1"/>
    </xf>
    <xf numFmtId="0" fontId="4" fillId="12" borderId="0" xfId="0" applyFont="1" applyFill="1" applyBorder="1" applyAlignment="1">
      <alignment horizontal="center" vertical="center" wrapText="1"/>
    </xf>
    <xf numFmtId="0" fontId="4" fillId="0" borderId="0" xfId="0" applyFont="1" applyBorder="1" applyAlignment="1">
      <alignment wrapText="1"/>
    </xf>
    <xf numFmtId="0" fontId="4" fillId="13" borderId="0" xfId="0" applyFont="1" applyFill="1" applyBorder="1" applyAlignment="1">
      <alignment horizontal="center" vertical="center" wrapText="1"/>
    </xf>
  </cellXfs>
  <cellStyles count="4">
    <cellStyle name="Input" xfId="1" builtinId="20"/>
    <cellStyle name="Normal" xfId="0" builtinId="0"/>
    <cellStyle name="Normal 4" xfId="3"/>
    <cellStyle name="Output" xfId="2" builtinId="21"/>
  </cellStyles>
  <dxfs count="15">
    <dxf>
      <fill>
        <patternFill>
          <bgColor rgb="FFCCFFCC"/>
        </patternFill>
      </fill>
    </dxf>
    <dxf>
      <fill>
        <patternFill>
          <bgColor rgb="FF66FF66"/>
        </patternFill>
      </fill>
    </dxf>
    <dxf>
      <fill>
        <patternFill>
          <bgColor rgb="FFFFFF00"/>
        </patternFill>
      </fill>
    </dxf>
    <dxf>
      <fill>
        <patternFill>
          <bgColor rgb="FFFF0000"/>
        </patternFill>
      </fill>
    </dxf>
    <dxf>
      <font>
        <b/>
        <i val="0"/>
        <color theme="0"/>
      </font>
      <fill>
        <patternFill>
          <bgColor rgb="FFC00000"/>
        </patternFill>
      </fill>
    </dxf>
    <dxf>
      <fill>
        <patternFill>
          <bgColor rgb="FFCCFFCC"/>
        </patternFill>
      </fill>
    </dxf>
    <dxf>
      <fill>
        <patternFill>
          <bgColor rgb="FF66FF66"/>
        </patternFill>
      </fill>
    </dxf>
    <dxf>
      <fill>
        <patternFill>
          <bgColor rgb="FFFFFF00"/>
        </patternFill>
      </fill>
    </dxf>
    <dxf>
      <fill>
        <patternFill>
          <bgColor rgb="FFFF0000"/>
        </patternFill>
      </fill>
    </dxf>
    <dxf>
      <font>
        <b/>
        <i val="0"/>
        <color theme="0"/>
      </font>
      <fill>
        <patternFill>
          <bgColor rgb="FFC00000"/>
        </patternFill>
      </fill>
    </dxf>
    <dxf>
      <fill>
        <patternFill>
          <bgColor rgb="FFCCFFCC"/>
        </patternFill>
      </fill>
    </dxf>
    <dxf>
      <fill>
        <patternFill>
          <bgColor rgb="FF66FF66"/>
        </patternFill>
      </fill>
    </dxf>
    <dxf>
      <fill>
        <patternFill>
          <bgColor rgb="FFFFFF00"/>
        </patternFill>
      </fill>
    </dxf>
    <dxf>
      <fill>
        <patternFill>
          <bgColor rgb="FFFF0000"/>
        </patternFill>
      </fill>
    </dxf>
    <dxf>
      <font>
        <b/>
        <i val="0"/>
        <color theme="0"/>
      </font>
      <fill>
        <patternFill patternType="solid">
          <fgColor auto="1"/>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nl-NL" sz="1600" b="1"/>
              <a:t>Niveau 1 beoordeling:</a:t>
            </a:r>
            <a:r>
              <a:rPr lang="nl-NL" sz="1600" b="1" baseline="0"/>
              <a:t> tooling.</a:t>
            </a:r>
            <a:endParaRPr lang="nl-NL" sz="1600" b="1"/>
          </a:p>
        </c:rich>
      </c:tx>
      <c:layout>
        <c:manualLayout>
          <c:xMode val="edge"/>
          <c:yMode val="edge"/>
          <c:x val="0.19234711286089243"/>
          <c:y val="3.5193165324248515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manualLayout>
          <c:layoutTarget val="inner"/>
          <c:xMode val="edge"/>
          <c:yMode val="edge"/>
          <c:x val="0.25846592045949418"/>
          <c:y val="0.33676811888485286"/>
          <c:w val="0.46006967738898114"/>
          <c:h val="0.58794004617617646"/>
        </c:manualLayout>
      </c:layout>
      <c:radarChart>
        <c:radarStyle val="marker"/>
        <c:varyColors val="0"/>
        <c:ser>
          <c:idx val="0"/>
          <c:order val="0"/>
          <c:spPr>
            <a:ln w="28575" cap="rnd">
              <a:solidFill>
                <a:schemeClr val="accent1"/>
              </a:solidFill>
              <a:round/>
            </a:ln>
            <a:effectLst/>
          </c:spPr>
          <c:marker>
            <c:symbol val="none"/>
          </c:marker>
          <c:cat>
            <c:strRef>
              <c:f>('Gap-analyse'!$B$4,'Gap-analyse'!$B$9,'Gap-analyse'!$B$13,'Gap-analyse'!$B$20,'Gap-analyse'!$B$27,'Gap-analyse'!$B$35)</c:f>
              <c:strCache>
                <c:ptCount val="6"/>
                <c:pt idx="0">
                  <c:v>Management framework: (gericht op verbetercyclus met evaluatie etc.)</c:v>
                </c:pt>
                <c:pt idx="1">
                  <c:v>Risicobeoordeling:</c:v>
                </c:pt>
                <c:pt idx="2">
                  <c:v>Corrosie snelheid:</c:v>
                </c:pt>
                <c:pt idx="3">
                  <c:v>Levensduur coating:</c:v>
                </c:pt>
                <c:pt idx="4">
                  <c:v>NDO Effectiviteit:</c:v>
                </c:pt>
                <c:pt idx="5">
                  <c:v>NDO Doelmatigheid:</c:v>
                </c:pt>
              </c:strCache>
            </c:strRef>
          </c:cat>
          <c:val>
            <c:numRef>
              <c:f>('Gap-analyse'!$D$4,'Gap-analyse'!$D$9,'Gap-analyse'!$D$13,'Gap-analyse'!$D$20,'Gap-analyse'!$D$27,'Gap-analyse'!$D$35)</c:f>
              <c:numCache>
                <c:formatCode>0.0</c:formatCode>
                <c:ptCount val="6"/>
                <c:pt idx="0">
                  <c:v>5</c:v>
                </c:pt>
                <c:pt idx="1">
                  <c:v>5</c:v>
                </c:pt>
                <c:pt idx="2">
                  <c:v>1.6666666666666667</c:v>
                </c:pt>
                <c:pt idx="3">
                  <c:v>5</c:v>
                </c:pt>
                <c:pt idx="4">
                  <c:v>4.2857142857142856</c:v>
                </c:pt>
                <c:pt idx="5">
                  <c:v>7.5</c:v>
                </c:pt>
              </c:numCache>
            </c:numRef>
          </c:val>
          <c:extLst>
            <c:ext xmlns:c16="http://schemas.microsoft.com/office/drawing/2014/chart" uri="{C3380CC4-5D6E-409C-BE32-E72D297353CC}">
              <c16:uniqueId val="{00000000-3D87-4438-99FE-8709642C618F}"/>
            </c:ext>
          </c:extLst>
        </c:ser>
        <c:dLbls>
          <c:showLegendKey val="0"/>
          <c:showVal val="0"/>
          <c:showCatName val="0"/>
          <c:showSerName val="0"/>
          <c:showPercent val="0"/>
          <c:showBubbleSize val="0"/>
        </c:dLbls>
        <c:axId val="463215520"/>
        <c:axId val="463213224"/>
      </c:radarChart>
      <c:catAx>
        <c:axId val="463215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3213224"/>
        <c:crosses val="autoZero"/>
        <c:auto val="1"/>
        <c:lblAlgn val="ctr"/>
        <c:lblOffset val="100"/>
        <c:noMultiLvlLbl val="0"/>
      </c:catAx>
      <c:valAx>
        <c:axId val="463213224"/>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3215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nl-NL" sz="1600" b="1"/>
              <a:t>Niveau 2 beoordeling:</a:t>
            </a:r>
            <a:r>
              <a:rPr lang="nl-NL" sz="1600" b="1" baseline="0"/>
              <a:t> HLS conformiteit</a:t>
            </a:r>
            <a:endParaRPr lang="nl-NL" sz="1600" b="1"/>
          </a:p>
        </c:rich>
      </c:tx>
      <c:layout>
        <c:manualLayout>
          <c:xMode val="edge"/>
          <c:yMode val="edge"/>
          <c:x val="0.11144817010233271"/>
          <c:y val="3.9385925815876785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manualLayout>
          <c:layoutTarget val="inner"/>
          <c:xMode val="edge"/>
          <c:yMode val="edge"/>
          <c:x val="0.22592609631661209"/>
          <c:y val="0.29254560161111942"/>
          <c:w val="0.48580140965525376"/>
          <c:h val="0.67651760511068193"/>
        </c:manualLayout>
      </c:layout>
      <c:radarChart>
        <c:radarStyle val="marker"/>
        <c:varyColors val="0"/>
        <c:ser>
          <c:idx val="0"/>
          <c:order val="0"/>
          <c:spPr>
            <a:ln w="28575" cap="rnd">
              <a:solidFill>
                <a:schemeClr val="accent1"/>
              </a:solidFill>
              <a:round/>
            </a:ln>
            <a:effectLst/>
          </c:spPr>
          <c:marker>
            <c:symbol val="none"/>
          </c:marker>
          <c:cat>
            <c:strRef>
              <c:f>('Gap-analyse'!$I$3,'Gap-analyse'!$I$11,'Gap-analyse'!$I$15,'Gap-analyse'!$I$18,'Gap-analyse'!$I$27,'Gap-analyse'!$I$30,'Gap-analyse'!$I$37)</c:f>
              <c:strCache>
                <c:ptCount val="7"/>
                <c:pt idx="0">
                  <c:v>Context van de organisatie:</c:v>
                </c:pt>
                <c:pt idx="1">
                  <c:v>Leiderschap:</c:v>
                </c:pt>
                <c:pt idx="2">
                  <c:v>Planning:</c:v>
                </c:pt>
                <c:pt idx="3">
                  <c:v>Ondersteuning:</c:v>
                </c:pt>
                <c:pt idx="4">
                  <c:v>Uitvoering:</c:v>
                </c:pt>
                <c:pt idx="5">
                  <c:v>Evaluatie van de prestaties:</c:v>
                </c:pt>
                <c:pt idx="6">
                  <c:v>Verbetering:</c:v>
                </c:pt>
              </c:strCache>
            </c:strRef>
          </c:cat>
          <c:val>
            <c:numRef>
              <c:f>('Gap-analyse'!$J$3,'Gap-analyse'!$J$11,'Gap-analyse'!$J$15,'Gap-analyse'!$J$18,'Gap-analyse'!$J$27,'Gap-analyse'!$J$30,'Gap-analyse'!$J$37)</c:f>
              <c:numCache>
                <c:formatCode>0.0</c:formatCode>
                <c:ptCount val="7"/>
                <c:pt idx="0">
                  <c:v>6.4285714285714288</c:v>
                </c:pt>
                <c:pt idx="1">
                  <c:v>6.25</c:v>
                </c:pt>
                <c:pt idx="2">
                  <c:v>5</c:v>
                </c:pt>
                <c:pt idx="3">
                  <c:v>8.3333333333333339</c:v>
                </c:pt>
                <c:pt idx="4">
                  <c:v>6.666666666666667</c:v>
                </c:pt>
                <c:pt idx="5">
                  <c:v>5.7142857142857144</c:v>
                </c:pt>
                <c:pt idx="6">
                  <c:v>5</c:v>
                </c:pt>
              </c:numCache>
            </c:numRef>
          </c:val>
          <c:extLst>
            <c:ext xmlns:c16="http://schemas.microsoft.com/office/drawing/2014/chart" uri="{C3380CC4-5D6E-409C-BE32-E72D297353CC}">
              <c16:uniqueId val="{00000000-025A-4F42-AE03-466673D97437}"/>
            </c:ext>
          </c:extLst>
        </c:ser>
        <c:dLbls>
          <c:showLegendKey val="0"/>
          <c:showVal val="0"/>
          <c:showCatName val="0"/>
          <c:showSerName val="0"/>
          <c:showPercent val="0"/>
          <c:showBubbleSize val="0"/>
        </c:dLbls>
        <c:axId val="463215520"/>
        <c:axId val="463213224"/>
      </c:radarChart>
      <c:catAx>
        <c:axId val="463215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3213224"/>
        <c:crosses val="autoZero"/>
        <c:auto val="1"/>
        <c:lblAlgn val="ctr"/>
        <c:lblOffset val="100"/>
        <c:noMultiLvlLbl val="0"/>
      </c:catAx>
      <c:valAx>
        <c:axId val="463213224"/>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3215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5178</xdr:rowOff>
    </xdr:from>
    <xdr:to>
      <xdr:col>1</xdr:col>
      <xdr:colOff>600075</xdr:colOff>
      <xdr:row>3</xdr:row>
      <xdr:rowOff>123825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1550" y="586203"/>
          <a:ext cx="561975" cy="5091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28575</xdr:rowOff>
    </xdr:from>
    <xdr:to>
      <xdr:col>0</xdr:col>
      <xdr:colOff>4248150</xdr:colOff>
      <xdr:row>1</xdr:row>
      <xdr:rowOff>3352800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28574</xdr:colOff>
      <xdr:row>1</xdr:row>
      <xdr:rowOff>323850</xdr:rowOff>
    </xdr:from>
    <xdr:to>
      <xdr:col>1</xdr:col>
      <xdr:colOff>4267199</xdr:colOff>
      <xdr:row>1</xdr:row>
      <xdr:rowOff>3352800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ORK_PC/Geerthenk.wijnants/Stork/Projecten/WCM_CUI/RB_CUI_Management/ToolBP_CuiManagement(Aug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ORK_PC/Geerthenk.wijnants/Stork/Projecten/WCM_CUI/RB_CUI_Management/ToolBP_CuiManagementPrioritering(Nov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lichting"/>
      <sheetName val="Installatie"/>
      <sheetName val="NEN-EN 16991"/>
      <sheetName val="Faalkans"/>
      <sheetName val="CorrosieModel"/>
      <sheetName val="Isol.Cond.Class."/>
      <sheetName val="Coating bescherming"/>
      <sheetName val="NDT Effectiviteit"/>
      <sheetName val="Succescriteria"/>
    </sheetNames>
    <sheetDataSet>
      <sheetData sheetId="0"/>
      <sheetData sheetId="1">
        <row r="8">
          <cell r="C8">
            <v>2</v>
          </cell>
        </row>
        <row r="13">
          <cell r="C13">
            <v>50</v>
          </cell>
        </row>
        <row r="25">
          <cell r="C25">
            <v>16.5</v>
          </cell>
        </row>
        <row r="41">
          <cell r="D41">
            <v>1</v>
          </cell>
        </row>
      </sheetData>
      <sheetData sheetId="2"/>
      <sheetData sheetId="3">
        <row r="3">
          <cell r="C3">
            <v>50</v>
          </cell>
        </row>
        <row r="4">
          <cell r="C4">
            <v>32.766002345256219</v>
          </cell>
        </row>
        <row r="17">
          <cell r="B17" t="str">
            <v>C-staal</v>
          </cell>
        </row>
        <row r="18">
          <cell r="B18" t="str">
            <v>C-staal; TSA</v>
          </cell>
        </row>
        <row r="19">
          <cell r="B19" t="str">
            <v>C-staal; gecoat</v>
          </cell>
        </row>
        <row r="20">
          <cell r="B20" t="str">
            <v>RVS</v>
          </cell>
        </row>
        <row r="21">
          <cell r="B21" t="str">
            <v>RVS; gecoat</v>
          </cell>
        </row>
      </sheetData>
      <sheetData sheetId="4">
        <row r="44">
          <cell r="E44">
            <v>0.35</v>
          </cell>
        </row>
        <row r="47">
          <cell r="A47" t="str">
            <v>Ja</v>
          </cell>
          <cell r="D47">
            <v>-273</v>
          </cell>
          <cell r="E47">
            <v>-4</v>
          </cell>
          <cell r="F47">
            <v>10</v>
          </cell>
          <cell r="G47">
            <v>50</v>
          </cell>
          <cell r="H47">
            <v>80</v>
          </cell>
          <cell r="I47">
            <v>120</v>
          </cell>
          <cell r="J47">
            <v>175</v>
          </cell>
        </row>
        <row r="48">
          <cell r="C48">
            <v>0</v>
          </cell>
          <cell r="D48">
            <v>0</v>
          </cell>
          <cell r="E48">
            <v>0.3</v>
          </cell>
          <cell r="F48">
            <v>0.1</v>
          </cell>
          <cell r="G48">
            <v>0.3</v>
          </cell>
          <cell r="H48">
            <v>0.3</v>
          </cell>
          <cell r="I48">
            <v>0.1</v>
          </cell>
          <cell r="J48">
            <v>0</v>
          </cell>
        </row>
        <row r="49">
          <cell r="C49">
            <v>10</v>
          </cell>
          <cell r="D49">
            <v>0</v>
          </cell>
          <cell r="E49">
            <v>0.3</v>
          </cell>
          <cell r="F49">
            <v>0.3</v>
          </cell>
          <cell r="G49">
            <v>0.3</v>
          </cell>
          <cell r="H49">
            <v>0.5</v>
          </cell>
          <cell r="I49">
            <v>0.3</v>
          </cell>
          <cell r="J49">
            <v>0</v>
          </cell>
        </row>
        <row r="50">
          <cell r="C50">
            <v>100</v>
          </cell>
          <cell r="D50">
            <v>0</v>
          </cell>
          <cell r="E50">
            <v>0.5</v>
          </cell>
          <cell r="F50">
            <v>0.3</v>
          </cell>
          <cell r="G50">
            <v>0.5</v>
          </cell>
          <cell r="H50">
            <v>0.7</v>
          </cell>
          <cell r="I50">
            <v>0.3</v>
          </cell>
          <cell r="J50">
            <v>0</v>
          </cell>
        </row>
        <row r="53">
          <cell r="B53" t="str">
            <v>C1-2</v>
          </cell>
          <cell r="D53">
            <v>0</v>
          </cell>
          <cell r="E53">
            <v>0.1</v>
          </cell>
          <cell r="F53">
            <v>0</v>
          </cell>
          <cell r="G53">
            <v>0.1</v>
          </cell>
          <cell r="H53">
            <v>0.1</v>
          </cell>
          <cell r="I53">
            <v>0</v>
          </cell>
          <cell r="J53">
            <v>0</v>
          </cell>
        </row>
        <row r="54">
          <cell r="B54" t="str">
            <v>C3</v>
          </cell>
          <cell r="D54">
            <v>0</v>
          </cell>
          <cell r="E54">
            <v>0.1</v>
          </cell>
          <cell r="F54">
            <v>0.1</v>
          </cell>
          <cell r="G54">
            <v>0.1</v>
          </cell>
          <cell r="H54">
            <v>0.2</v>
          </cell>
          <cell r="I54">
            <v>0.1</v>
          </cell>
          <cell r="J54">
            <v>0</v>
          </cell>
        </row>
        <row r="55">
          <cell r="B55" t="str">
            <v>C4-C5-CX</v>
          </cell>
          <cell r="D55">
            <v>0</v>
          </cell>
          <cell r="E55">
            <v>0.2</v>
          </cell>
          <cell r="F55">
            <v>0.1</v>
          </cell>
          <cell r="G55">
            <v>0.2</v>
          </cell>
          <cell r="H55">
            <v>0.3</v>
          </cell>
          <cell r="I55">
            <v>0.1</v>
          </cell>
          <cell r="J55">
            <v>0</v>
          </cell>
        </row>
        <row r="72">
          <cell r="B72" t="str">
            <v>Calcium silicate</v>
          </cell>
        </row>
        <row r="73">
          <cell r="B73" t="str">
            <v>Expanded perlite</v>
          </cell>
        </row>
        <row r="74">
          <cell r="B74" t="str">
            <v>Pyrogel XT</v>
          </cell>
        </row>
        <row r="75">
          <cell r="B75" t="str">
            <v>Cellular glass</v>
          </cell>
        </row>
        <row r="76">
          <cell r="B76" t="str">
            <v>WRG mineral wool</v>
          </cell>
        </row>
        <row r="77">
          <cell r="B77" t="str">
            <v>Mineral wool</v>
          </cell>
        </row>
        <row r="78">
          <cell r="B78" t="str">
            <v xml:space="preserve">Pyrogel XT over mineral wool </v>
          </cell>
        </row>
      </sheetData>
      <sheetData sheetId="5"/>
      <sheetData sheetId="6">
        <row r="11">
          <cell r="D11" t="str">
            <v>Getest; bewezen</v>
          </cell>
          <cell r="E11" t="str">
            <v>Getest; onbewezen</v>
          </cell>
          <cell r="F11" t="str">
            <v>Onvolledig getest</v>
          </cell>
          <cell r="H11">
            <v>0.05</v>
          </cell>
          <cell r="I11">
            <v>0.3</v>
          </cell>
          <cell r="J11">
            <v>0.5</v>
          </cell>
        </row>
        <row r="12">
          <cell r="D12" t="str">
            <v>Oud</v>
          </cell>
          <cell r="E12" t="str">
            <v>Recent</v>
          </cell>
          <cell r="H12">
            <v>0.9</v>
          </cell>
          <cell r="I12">
            <v>0.5</v>
          </cell>
        </row>
        <row r="13">
          <cell r="D13" t="str">
            <v>Compleet</v>
          </cell>
          <cell r="E13" t="str">
            <v>&gt; 50% moeilijk</v>
          </cell>
          <cell r="F13" t="str">
            <v>&gt; 80% moeilijk</v>
          </cell>
          <cell r="H13">
            <v>0.05</v>
          </cell>
          <cell r="I13">
            <v>0.75</v>
          </cell>
          <cell r="J13">
            <v>0.9</v>
          </cell>
        </row>
        <row r="14">
          <cell r="D14" t="str">
            <v>Compleet</v>
          </cell>
          <cell r="E14" t="str">
            <v>Goed plan; Onvoldoende expertise</v>
          </cell>
          <cell r="F14" t="str">
            <v>Onvoldoende plan; voldoende expertise</v>
          </cell>
          <cell r="G14" t="str">
            <v>Plan en expertise onvoldoende</v>
          </cell>
          <cell r="H14">
            <v>0.1</v>
          </cell>
          <cell r="I14">
            <v>0.5</v>
          </cell>
          <cell r="J14">
            <v>0.25</v>
          </cell>
          <cell r="K14">
            <v>0.9</v>
          </cell>
        </row>
        <row r="15">
          <cell r="D15" t="str">
            <v>Complete uitvoering en onderhoud</v>
          </cell>
          <cell r="E15" t="str">
            <v>Voldoende uitvoering en onvoldoende onderhoud</v>
          </cell>
          <cell r="F15" t="str">
            <v>Onvoldoende uitvoering, voldoende onderhoud</v>
          </cell>
          <cell r="G15" t="str">
            <v>Uitvoering én onderhoud onvoldoende</v>
          </cell>
          <cell r="H15">
            <v>0.1</v>
          </cell>
          <cell r="I15">
            <v>0.9</v>
          </cell>
          <cell r="J15">
            <v>0.25</v>
          </cell>
          <cell r="K15">
            <v>0.9</v>
          </cell>
        </row>
        <row r="18">
          <cell r="B18">
            <v>20</v>
          </cell>
        </row>
        <row r="19">
          <cell r="B19">
            <v>1.75</v>
          </cell>
        </row>
      </sheetData>
      <sheetData sheetId="7">
        <row r="2">
          <cell r="P2" t="str">
            <v>1) Visuele inspectie met uitpakken.</v>
          </cell>
        </row>
        <row r="3">
          <cell r="P3" t="str">
            <v>2) On stream RT (Film)</v>
          </cell>
        </row>
        <row r="4">
          <cell r="P4" t="str">
            <v>3) On streamRT (digitaal)</v>
          </cell>
        </row>
        <row r="5">
          <cell r="P5" t="str">
            <v>4) Profile radiografie</v>
          </cell>
        </row>
        <row r="6">
          <cell r="P6" t="str">
            <v>5) Guided Waves / Long Range UT</v>
          </cell>
        </row>
        <row r="7">
          <cell r="P7" t="str">
            <v>6) PEC / PEC Array</v>
          </cell>
        </row>
        <row r="8">
          <cell r="P8" t="str">
            <v>7) In-line inspection (intelligent pigging)</v>
          </cell>
        </row>
        <row r="9">
          <cell r="P9" t="str">
            <v>8) Ultrasone wanddikte meting</v>
          </cell>
        </row>
        <row r="10">
          <cell r="P10" t="str">
            <v>9) UT C-scan mapping</v>
          </cell>
        </row>
        <row r="11">
          <cell r="P11" t="str">
            <v>10) Thermografie</v>
          </cell>
        </row>
        <row r="12">
          <cell r="P12" t="str">
            <v>11) 	Neuron Backscatter (tbv vochtdetectie)</v>
          </cell>
        </row>
        <row r="14">
          <cell r="B14" t="str">
            <v>Aftakkingen op leidingen &gt; DN250 en op vatwanden</v>
          </cell>
          <cell r="C14" t="str">
            <v>A</v>
          </cell>
          <cell r="D14" t="str">
            <v>B</v>
          </cell>
          <cell r="E14" t="str">
            <v>B</v>
          </cell>
          <cell r="F14" t="str">
            <v>B</v>
          </cell>
          <cell r="G14" t="str">
            <v>C</v>
          </cell>
          <cell r="H14" t="str">
            <v>C</v>
          </cell>
          <cell r="I14" t="str">
            <v>B</v>
          </cell>
          <cell r="J14" t="str">
            <v>A</v>
          </cell>
          <cell r="K14" t="str">
            <v>B</v>
          </cell>
          <cell r="L14" t="str">
            <v>D</v>
          </cell>
          <cell r="M14" t="str">
            <v>D</v>
          </cell>
        </row>
        <row r="15">
          <cell r="B15" t="str">
            <v>Aftakkingen op leidingen ≤  DN250</v>
          </cell>
          <cell r="C15" t="str">
            <v>A</v>
          </cell>
          <cell r="D15" t="str">
            <v>A</v>
          </cell>
          <cell r="E15" t="str">
            <v>A</v>
          </cell>
          <cell r="F15" t="str">
            <v>B</v>
          </cell>
          <cell r="G15" t="str">
            <v>C</v>
          </cell>
          <cell r="H15" t="str">
            <v>C</v>
          </cell>
          <cell r="I15" t="str">
            <v>B</v>
          </cell>
          <cell r="J15" t="str">
            <v>A</v>
          </cell>
          <cell r="K15" t="str">
            <v>A</v>
          </cell>
          <cell r="L15" t="str">
            <v>D</v>
          </cell>
          <cell r="M15" t="str">
            <v>D</v>
          </cell>
        </row>
        <row r="16">
          <cell r="B16" t="str">
            <v>Brandwerende bekleding in het algemeen</v>
          </cell>
          <cell r="C16" t="str">
            <v>A</v>
          </cell>
          <cell r="D16" t="str">
            <v>A</v>
          </cell>
          <cell r="E16" t="str">
            <v>A</v>
          </cell>
          <cell r="F16" t="str">
            <v>B</v>
          </cell>
          <cell r="G16" t="str">
            <v>D</v>
          </cell>
          <cell r="H16" t="str">
            <v>B</v>
          </cell>
          <cell r="I16" t="str">
            <v>E</v>
          </cell>
          <cell r="J16" t="str">
            <v>E</v>
          </cell>
          <cell r="K16" t="str">
            <v>A</v>
          </cell>
          <cell r="L16" t="str">
            <v>E</v>
          </cell>
          <cell r="M16" t="str">
            <v>D</v>
          </cell>
        </row>
        <row r="17">
          <cell r="B17" t="str">
            <v>Oplegging/Ondersteuning (*)</v>
          </cell>
          <cell r="C17" t="str">
            <v>D</v>
          </cell>
          <cell r="D17" t="str">
            <v>B</v>
          </cell>
          <cell r="E17" t="str">
            <v>A</v>
          </cell>
          <cell r="F17" t="str">
            <v>C</v>
          </cell>
          <cell r="G17" t="str">
            <v>C</v>
          </cell>
          <cell r="H17" t="str">
            <v>E</v>
          </cell>
          <cell r="I17" t="str">
            <v>A</v>
          </cell>
          <cell r="J17" t="str">
            <v>E</v>
          </cell>
          <cell r="K17" t="str">
            <v>E</v>
          </cell>
          <cell r="L17" t="str">
            <v>D</v>
          </cell>
          <cell r="M17" t="str">
            <v>E</v>
          </cell>
        </row>
        <row r="18">
          <cell r="B18" t="str">
            <v>Rechte leidingen &gt; DN250 en vatwanden</v>
          </cell>
          <cell r="C18" t="str">
            <v>A</v>
          </cell>
          <cell r="D18" t="str">
            <v>B</v>
          </cell>
          <cell r="E18" t="str">
            <v>B</v>
          </cell>
          <cell r="F18" t="str">
            <v>B</v>
          </cell>
          <cell r="G18" t="str">
            <v>A</v>
          </cell>
          <cell r="H18" t="str">
            <v>B</v>
          </cell>
          <cell r="I18" t="str">
            <v>A</v>
          </cell>
          <cell r="J18" t="str">
            <v>A</v>
          </cell>
          <cell r="K18" t="str">
            <v>A</v>
          </cell>
          <cell r="L18" t="str">
            <v>C</v>
          </cell>
          <cell r="M18" t="str">
            <v>D</v>
          </cell>
        </row>
        <row r="19">
          <cell r="B19" t="str">
            <v>Rechte leidingen ≤ DN250</v>
          </cell>
          <cell r="C19" t="str">
            <v>A</v>
          </cell>
          <cell r="D19" t="str">
            <v>A</v>
          </cell>
          <cell r="E19" t="str">
            <v>A</v>
          </cell>
          <cell r="F19" t="str">
            <v>A</v>
          </cell>
          <cell r="G19" t="str">
            <v>A</v>
          </cell>
          <cell r="H19" t="str">
            <v>B</v>
          </cell>
          <cell r="I19" t="str">
            <v>A</v>
          </cell>
          <cell r="J19" t="str">
            <v>A</v>
          </cell>
          <cell r="K19" t="str">
            <v>A</v>
          </cell>
          <cell r="L19" t="str">
            <v>C</v>
          </cell>
          <cell r="M19" t="str">
            <v>D</v>
          </cell>
        </row>
        <row r="44">
          <cell r="H44">
            <v>6</v>
          </cell>
          <cell r="I44">
            <v>5</v>
          </cell>
          <cell r="J44">
            <v>4</v>
          </cell>
          <cell r="K44">
            <v>3</v>
          </cell>
          <cell r="L44">
            <v>2</v>
          </cell>
          <cell r="M44">
            <v>1</v>
          </cell>
        </row>
        <row r="45">
          <cell r="H45">
            <v>3</v>
          </cell>
          <cell r="I45">
            <v>3</v>
          </cell>
          <cell r="J45">
            <v>2</v>
          </cell>
          <cell r="K45">
            <v>1</v>
          </cell>
          <cell r="L45">
            <v>1</v>
          </cell>
          <cell r="M45">
            <v>1</v>
          </cell>
        </row>
        <row r="46">
          <cell r="H46">
            <v>4</v>
          </cell>
          <cell r="I46">
            <v>4</v>
          </cell>
          <cell r="J46">
            <v>3</v>
          </cell>
          <cell r="K46">
            <v>2</v>
          </cell>
          <cell r="L46">
            <v>1</v>
          </cell>
          <cell r="M46">
            <v>1</v>
          </cell>
        </row>
        <row r="47">
          <cell r="H47">
            <v>5</v>
          </cell>
          <cell r="I47">
            <v>5</v>
          </cell>
          <cell r="J47">
            <v>4</v>
          </cell>
          <cell r="K47">
            <v>3</v>
          </cell>
          <cell r="L47">
            <v>2</v>
          </cell>
          <cell r="M47">
            <v>1</v>
          </cell>
        </row>
        <row r="48">
          <cell r="H48">
            <v>5</v>
          </cell>
          <cell r="I48">
            <v>5</v>
          </cell>
          <cell r="J48">
            <v>4</v>
          </cell>
          <cell r="K48">
            <v>3</v>
          </cell>
          <cell r="L48">
            <v>2</v>
          </cell>
          <cell r="M48">
            <v>1</v>
          </cell>
        </row>
        <row r="49">
          <cell r="H49">
            <v>6</v>
          </cell>
          <cell r="I49">
            <v>5</v>
          </cell>
          <cell r="J49">
            <v>4</v>
          </cell>
          <cell r="K49">
            <v>3</v>
          </cell>
          <cell r="L49">
            <v>2</v>
          </cell>
          <cell r="M49">
            <v>1</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lichting"/>
      <sheetName val="Installatie"/>
      <sheetName val="Weergave"/>
      <sheetName val="NEN-EN 16991"/>
      <sheetName val="Instellingen"/>
    </sheetNames>
    <sheetDataSet>
      <sheetData sheetId="0"/>
      <sheetData sheetId="1">
        <row r="1">
          <cell r="G1" t="str">
            <v>Ja</v>
          </cell>
        </row>
      </sheetData>
      <sheetData sheetId="2"/>
      <sheetData sheetId="3">
        <row r="3">
          <cell r="AB3">
            <v>10</v>
          </cell>
          <cell r="AC3">
            <v>110</v>
          </cell>
          <cell r="AD3">
            <v>1100</v>
          </cell>
          <cell r="AE3">
            <v>11000</v>
          </cell>
          <cell r="AF3">
            <v>107500</v>
          </cell>
        </row>
        <row r="4">
          <cell r="AB4">
            <v>1.6666666666666667</v>
          </cell>
          <cell r="AC4">
            <v>18.333333333333332</v>
          </cell>
          <cell r="AD4">
            <v>183.33333333333334</v>
          </cell>
          <cell r="AE4">
            <v>1833.3333333333333</v>
          </cell>
          <cell r="AF4">
            <v>17916.666666666668</v>
          </cell>
        </row>
        <row r="5">
          <cell r="AB5">
            <v>0.33333333333333331</v>
          </cell>
          <cell r="AC5">
            <v>3.6666666666666665</v>
          </cell>
          <cell r="AD5">
            <v>36.666666666666664</v>
          </cell>
          <cell r="AE5">
            <v>366.66666666666669</v>
          </cell>
          <cell r="AF5">
            <v>3583.3333333333335</v>
          </cell>
        </row>
        <row r="6">
          <cell r="AB6">
            <v>6.6666666666666666E-2</v>
          </cell>
          <cell r="AC6">
            <v>0.73333333333333328</v>
          </cell>
          <cell r="AD6">
            <v>7.333333333333333</v>
          </cell>
          <cell r="AE6">
            <v>73.333333333333329</v>
          </cell>
          <cell r="AF6">
            <v>716.66666666666663</v>
          </cell>
        </row>
        <row r="7">
          <cell r="AB7">
            <v>8.8888888888888889E-3</v>
          </cell>
          <cell r="AC7">
            <v>9.7777777777777783E-2</v>
          </cell>
          <cell r="AD7">
            <v>0.97777777777777775</v>
          </cell>
          <cell r="AE7">
            <v>9.7777777777777786</v>
          </cell>
          <cell r="AF7">
            <v>95.555555555555557</v>
          </cell>
        </row>
      </sheetData>
      <sheetData sheetId="4">
        <row r="3">
          <cell r="O3" t="str">
            <v>1)  Visuele inspectie met uitpakken.</v>
          </cell>
          <cell r="T3" t="str">
            <v>Calcium silicate</v>
          </cell>
          <cell r="U3">
            <v>5</v>
          </cell>
        </row>
        <row r="4">
          <cell r="O4" t="str">
            <v>2) On stream RT (Film)</v>
          </cell>
          <cell r="T4" t="str">
            <v>Expanded perlite</v>
          </cell>
          <cell r="U4" t="str">
            <v>Geen data beschikbaar.</v>
          </cell>
        </row>
        <row r="5">
          <cell r="O5" t="str">
            <v>3) On streamRT (digitaal)</v>
          </cell>
          <cell r="T5" t="str">
            <v>Pyrogel XT</v>
          </cell>
          <cell r="U5">
            <v>3</v>
          </cell>
        </row>
        <row r="6">
          <cell r="O6" t="str">
            <v>4) Profile radiografie</v>
          </cell>
          <cell r="T6" t="str">
            <v>Cellular glass</v>
          </cell>
          <cell r="U6">
            <v>3</v>
          </cell>
        </row>
        <row r="7">
          <cell r="O7" t="str">
            <v>5) Guided Waves / Long Range UT</v>
          </cell>
          <cell r="T7" t="str">
            <v>WRG mineral wool</v>
          </cell>
          <cell r="U7">
            <v>4</v>
          </cell>
        </row>
        <row r="8">
          <cell r="O8" t="str">
            <v>6) PEC / PEC Array</v>
          </cell>
          <cell r="T8" t="str">
            <v>Mineral wool</v>
          </cell>
          <cell r="U8">
            <v>5</v>
          </cell>
        </row>
        <row r="9">
          <cell r="O9" t="str">
            <v>7) In-line inspection (intelligent pigging)</v>
          </cell>
          <cell r="T9" t="str">
            <v xml:space="preserve">Pyrogel XT over mineral wool </v>
          </cell>
          <cell r="U9">
            <v>3</v>
          </cell>
        </row>
        <row r="10">
          <cell r="O10" t="str">
            <v>8) Ultrasone wanddikte meting</v>
          </cell>
        </row>
        <row r="11">
          <cell r="O11" t="str">
            <v>9) UT C-scan mapping</v>
          </cell>
        </row>
        <row r="12">
          <cell r="O12" t="str">
            <v>10) Thermografie</v>
          </cell>
          <cell r="V12">
            <v>0.1</v>
          </cell>
        </row>
        <row r="13">
          <cell r="O13" t="str">
            <v>11) 	Neuron Backscatter (tbv vochtdetectie)</v>
          </cell>
          <cell r="V13">
            <v>0.25</v>
          </cell>
        </row>
        <row r="14">
          <cell r="V14">
            <v>0.5</v>
          </cell>
        </row>
        <row r="15">
          <cell r="B15" t="str">
            <v>Aftakkingen op leidingen &gt; DN250 en op vatwanden</v>
          </cell>
          <cell r="C15" t="str">
            <v>A</v>
          </cell>
          <cell r="D15" t="str">
            <v>B</v>
          </cell>
          <cell r="E15" t="str">
            <v>B</v>
          </cell>
          <cell r="F15" t="str">
            <v>B</v>
          </cell>
          <cell r="G15" t="str">
            <v>C</v>
          </cell>
          <cell r="H15" t="str">
            <v>C</v>
          </cell>
          <cell r="I15" t="str">
            <v>B</v>
          </cell>
          <cell r="J15" t="str">
            <v>A</v>
          </cell>
          <cell r="K15" t="str">
            <v>B</v>
          </cell>
          <cell r="L15" t="str">
            <v>D</v>
          </cell>
          <cell r="M15" t="str">
            <v>D</v>
          </cell>
          <cell r="V15">
            <v>0.75</v>
          </cell>
        </row>
        <row r="16">
          <cell r="B16" t="str">
            <v>Aftakkingen op leidingen ≤  DN250</v>
          </cell>
          <cell r="C16" t="str">
            <v>A</v>
          </cell>
          <cell r="D16" t="str">
            <v>A</v>
          </cell>
          <cell r="E16" t="str">
            <v>A</v>
          </cell>
          <cell r="F16" t="str">
            <v>B</v>
          </cell>
          <cell r="G16" t="str">
            <v>C</v>
          </cell>
          <cell r="H16" t="str">
            <v>C</v>
          </cell>
          <cell r="I16" t="str">
            <v>B</v>
          </cell>
          <cell r="J16" t="str">
            <v>A</v>
          </cell>
          <cell r="K16" t="str">
            <v>A</v>
          </cell>
          <cell r="L16" t="str">
            <v>D</v>
          </cell>
          <cell r="M16" t="str">
            <v>D</v>
          </cell>
          <cell r="P16" t="str">
            <v>A</v>
          </cell>
          <cell r="Q16">
            <v>0.99</v>
          </cell>
          <cell r="R16">
            <v>1</v>
          </cell>
          <cell r="V16">
            <v>1</v>
          </cell>
        </row>
        <row r="17">
          <cell r="B17" t="str">
            <v>Brandwerende bekleding in het algemeen</v>
          </cell>
          <cell r="C17" t="str">
            <v>A</v>
          </cell>
          <cell r="D17" t="str">
            <v>A</v>
          </cell>
          <cell r="E17" t="str">
            <v>A</v>
          </cell>
          <cell r="F17" t="str">
            <v>B</v>
          </cell>
          <cell r="G17" t="str">
            <v>D</v>
          </cell>
          <cell r="H17" t="str">
            <v>B</v>
          </cell>
          <cell r="I17" t="str">
            <v>E</v>
          </cell>
          <cell r="J17" t="str">
            <v>E</v>
          </cell>
          <cell r="K17" t="str">
            <v>A</v>
          </cell>
          <cell r="L17" t="str">
            <v>E</v>
          </cell>
          <cell r="M17" t="str">
            <v>D</v>
          </cell>
          <cell r="P17" t="str">
            <v>B</v>
          </cell>
          <cell r="Q17">
            <v>0.9</v>
          </cell>
          <cell r="R17">
            <v>0.65</v>
          </cell>
        </row>
        <row r="18">
          <cell r="B18" t="str">
            <v>Oplegging/Ondersteuning (*)</v>
          </cell>
          <cell r="C18" t="str">
            <v>D</v>
          </cell>
          <cell r="D18" t="str">
            <v>B</v>
          </cell>
          <cell r="E18" t="str">
            <v>A</v>
          </cell>
          <cell r="F18" t="str">
            <v>C</v>
          </cell>
          <cell r="G18" t="str">
            <v>C</v>
          </cell>
          <cell r="H18" t="str">
            <v>E</v>
          </cell>
          <cell r="I18" t="str">
            <v>A</v>
          </cell>
          <cell r="J18" t="str">
            <v>E</v>
          </cell>
          <cell r="K18" t="str">
            <v>E</v>
          </cell>
          <cell r="L18" t="str">
            <v>D</v>
          </cell>
          <cell r="M18" t="str">
            <v>E</v>
          </cell>
          <cell r="P18" t="str">
            <v>C</v>
          </cell>
          <cell r="Q18">
            <v>0.7</v>
          </cell>
          <cell r="R18">
            <v>0.35</v>
          </cell>
        </row>
        <row r="19">
          <cell r="B19" t="str">
            <v>Rechte leidingen &gt; DN250 en vatwanden</v>
          </cell>
          <cell r="C19" t="str">
            <v>A</v>
          </cell>
          <cell r="D19" t="str">
            <v>B</v>
          </cell>
          <cell r="E19" t="str">
            <v>B</v>
          </cell>
          <cell r="F19" t="str">
            <v>B</v>
          </cell>
          <cell r="G19" t="str">
            <v>A</v>
          </cell>
          <cell r="H19" t="str">
            <v>B</v>
          </cell>
          <cell r="I19" t="str">
            <v>A</v>
          </cell>
          <cell r="J19" t="str">
            <v>A</v>
          </cell>
          <cell r="K19" t="str">
            <v>A</v>
          </cell>
          <cell r="L19" t="str">
            <v>C</v>
          </cell>
          <cell r="M19" t="str">
            <v>D</v>
          </cell>
          <cell r="P19" t="str">
            <v>D</v>
          </cell>
          <cell r="Q19">
            <v>0.3</v>
          </cell>
          <cell r="R19">
            <v>0.05</v>
          </cell>
        </row>
        <row r="20">
          <cell r="B20" t="str">
            <v>Rechte leidingen ≤ DN250</v>
          </cell>
          <cell r="C20" t="str">
            <v>A</v>
          </cell>
          <cell r="D20" t="str">
            <v>A</v>
          </cell>
          <cell r="E20" t="str">
            <v>A</v>
          </cell>
          <cell r="F20" t="str">
            <v>A</v>
          </cell>
          <cell r="G20" t="str">
            <v>A</v>
          </cell>
          <cell r="H20" t="str">
            <v>B</v>
          </cell>
          <cell r="I20" t="str">
            <v>A</v>
          </cell>
          <cell r="J20" t="str">
            <v>A</v>
          </cell>
          <cell r="K20" t="str">
            <v>A</v>
          </cell>
          <cell r="L20" t="str">
            <v>C</v>
          </cell>
          <cell r="M20" t="str">
            <v>D</v>
          </cell>
          <cell r="P20" t="str">
            <v>E</v>
          </cell>
          <cell r="Q20">
            <v>0</v>
          </cell>
        </row>
        <row r="23">
          <cell r="T23">
            <v>-273</v>
          </cell>
          <cell r="U23">
            <v>-4</v>
          </cell>
          <cell r="V23">
            <v>10</v>
          </cell>
          <cell r="W23">
            <v>50</v>
          </cell>
          <cell r="X23">
            <v>80</v>
          </cell>
          <cell r="Y23">
            <v>120</v>
          </cell>
          <cell r="Z23">
            <v>175</v>
          </cell>
        </row>
        <row r="24">
          <cell r="S24">
            <v>0</v>
          </cell>
          <cell r="T24">
            <v>0</v>
          </cell>
          <cell r="U24">
            <v>0.3</v>
          </cell>
          <cell r="V24">
            <v>0.1</v>
          </cell>
          <cell r="W24">
            <v>0.3</v>
          </cell>
          <cell r="X24">
            <v>0.3</v>
          </cell>
          <cell r="Y24">
            <v>0.1</v>
          </cell>
          <cell r="Z24">
            <v>0</v>
          </cell>
        </row>
        <row r="25">
          <cell r="S25">
            <v>10</v>
          </cell>
          <cell r="T25">
            <v>0</v>
          </cell>
          <cell r="U25">
            <v>0.3</v>
          </cell>
          <cell r="V25">
            <v>0.3</v>
          </cell>
          <cell r="W25">
            <v>0.3</v>
          </cell>
          <cell r="X25">
            <v>0.5</v>
          </cell>
          <cell r="Y25">
            <v>0.3</v>
          </cell>
          <cell r="Z25">
            <v>0</v>
          </cell>
        </row>
        <row r="26">
          <cell r="S26">
            <v>100</v>
          </cell>
          <cell r="T26">
            <v>0</v>
          </cell>
          <cell r="U26">
            <v>0.5</v>
          </cell>
          <cell r="V26">
            <v>0.3</v>
          </cell>
          <cell r="W26">
            <v>0.5</v>
          </cell>
          <cell r="X26">
            <v>0.7</v>
          </cell>
          <cell r="Y26">
            <v>0.3</v>
          </cell>
          <cell r="Z26">
            <v>0</v>
          </cell>
        </row>
        <row r="29">
          <cell r="R29" t="str">
            <v>C1-2</v>
          </cell>
          <cell r="T29">
            <v>0</v>
          </cell>
          <cell r="U29">
            <v>0.1</v>
          </cell>
          <cell r="V29">
            <v>0</v>
          </cell>
          <cell r="W29">
            <v>0.1</v>
          </cell>
          <cell r="X29">
            <v>0.1</v>
          </cell>
          <cell r="Y29">
            <v>0</v>
          </cell>
          <cell r="Z29">
            <v>0</v>
          </cell>
        </row>
        <row r="30">
          <cell r="R30" t="str">
            <v>C3</v>
          </cell>
          <cell r="T30">
            <v>0</v>
          </cell>
          <cell r="U30">
            <v>0.1</v>
          </cell>
          <cell r="V30">
            <v>0.1</v>
          </cell>
          <cell r="W30">
            <v>0.1</v>
          </cell>
          <cell r="X30">
            <v>0.2</v>
          </cell>
          <cell r="Y30">
            <v>0.1</v>
          </cell>
          <cell r="Z30">
            <v>0</v>
          </cell>
        </row>
        <row r="31">
          <cell r="R31" t="str">
            <v>C4-C5-CX</v>
          </cell>
          <cell r="T31">
            <v>0</v>
          </cell>
          <cell r="U31">
            <v>0.2</v>
          </cell>
          <cell r="V31">
            <v>0.1</v>
          </cell>
          <cell r="W31">
            <v>0.2</v>
          </cell>
          <cell r="X31">
            <v>0.3</v>
          </cell>
          <cell r="Y31">
            <v>0.1</v>
          </cell>
          <cell r="Z31">
            <v>0</v>
          </cell>
        </row>
        <row r="33">
          <cell r="S33">
            <v>-273</v>
          </cell>
          <cell r="T33">
            <v>40</v>
          </cell>
        </row>
        <row r="34">
          <cell r="S34">
            <v>0</v>
          </cell>
          <cell r="T34" t="str">
            <v>SAO</v>
          </cell>
        </row>
        <row r="36">
          <cell r="Z36">
            <v>2.6666666666666665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H52"/>
  <sheetViews>
    <sheetView showRowColHeaders="0" tabSelected="1" zoomScaleNormal="100" workbookViewId="0">
      <selection activeCell="D18" sqref="D18"/>
    </sheetView>
  </sheetViews>
  <sheetFormatPr defaultColWidth="0" defaultRowHeight="15" customHeight="1" zeroHeight="1" x14ac:dyDescent="0.3"/>
  <cols>
    <col min="1" max="1" width="14" customWidth="1"/>
    <col min="2" max="2" width="9.140625" customWidth="1"/>
    <col min="3" max="3" width="36.28515625" customWidth="1"/>
    <col min="4" max="4" width="11.7109375" customWidth="1"/>
    <col min="5" max="5" width="15.7109375" customWidth="1"/>
    <col min="6" max="6" width="59.28515625" customWidth="1"/>
    <col min="7" max="7" width="9.140625" customWidth="1"/>
    <col min="8" max="8" width="0.140625" customWidth="1"/>
    <col min="9" max="16384" width="9.140625" hidden="1"/>
  </cols>
  <sheetData>
    <row r="1" spans="1:8" ht="45.75" thickBot="1" x14ac:dyDescent="0.35">
      <c r="A1" s="9"/>
      <c r="B1" s="9"/>
      <c r="C1" s="9"/>
      <c r="D1" s="9"/>
      <c r="E1" s="9"/>
      <c r="F1" s="9"/>
      <c r="G1" s="9"/>
      <c r="H1" s="10" t="s">
        <v>74</v>
      </c>
    </row>
    <row r="2" spans="1:8" x14ac:dyDescent="0.3">
      <c r="A2" s="9"/>
      <c r="B2" s="11"/>
      <c r="C2" s="12"/>
      <c r="D2" s="12"/>
      <c r="E2" s="12"/>
      <c r="F2" s="12"/>
      <c r="G2" s="13"/>
      <c r="H2" s="14"/>
    </row>
    <row r="3" spans="1:8" ht="15.75" thickBot="1" x14ac:dyDescent="0.35">
      <c r="A3" s="9"/>
      <c r="B3" s="15"/>
      <c r="C3" s="16"/>
      <c r="D3" s="16"/>
      <c r="E3" s="16"/>
      <c r="F3" s="16"/>
      <c r="G3" s="17" t="s">
        <v>89</v>
      </c>
      <c r="H3" s="14"/>
    </row>
    <row r="4" spans="1:8" ht="27.75" x14ac:dyDescent="0.45">
      <c r="A4" s="9"/>
      <c r="B4" s="18"/>
      <c r="C4" s="19" t="s">
        <v>75</v>
      </c>
      <c r="D4" s="20"/>
      <c r="E4" s="20"/>
      <c r="F4" s="20"/>
      <c r="G4" s="18"/>
      <c r="H4" s="14"/>
    </row>
    <row r="5" spans="1:8" x14ac:dyDescent="0.3">
      <c r="A5" s="9"/>
      <c r="B5" s="18"/>
      <c r="C5" s="21" t="s">
        <v>76</v>
      </c>
      <c r="D5" s="22" t="s">
        <v>77</v>
      </c>
      <c r="E5" s="22"/>
      <c r="F5" s="20"/>
      <c r="G5" s="18"/>
      <c r="H5" s="14"/>
    </row>
    <row r="6" spans="1:8" x14ac:dyDescent="0.3">
      <c r="A6" s="9"/>
      <c r="B6" s="18"/>
      <c r="C6" s="22" t="s">
        <v>90</v>
      </c>
      <c r="D6" s="20"/>
      <c r="E6" s="20"/>
      <c r="F6" s="20"/>
      <c r="G6" s="18"/>
      <c r="H6" s="14"/>
    </row>
    <row r="7" spans="1:8" x14ac:dyDescent="0.3">
      <c r="A7" s="9"/>
      <c r="B7" s="18"/>
      <c r="C7" s="22" t="s">
        <v>91</v>
      </c>
      <c r="D7" s="20"/>
      <c r="E7" s="20"/>
      <c r="F7" s="20"/>
      <c r="G7" s="18"/>
      <c r="H7" s="14"/>
    </row>
    <row r="8" spans="1:8" x14ac:dyDescent="0.3">
      <c r="A8" s="9"/>
      <c r="B8" s="18"/>
      <c r="C8" s="22" t="s">
        <v>92</v>
      </c>
      <c r="D8" s="20"/>
      <c r="E8" s="20"/>
      <c r="F8" s="20"/>
      <c r="G8" s="18"/>
      <c r="H8" s="14"/>
    </row>
    <row r="9" spans="1:8" x14ac:dyDescent="0.3">
      <c r="A9" s="9"/>
      <c r="B9" s="18"/>
      <c r="C9" s="22" t="s">
        <v>78</v>
      </c>
      <c r="D9" s="20"/>
      <c r="E9" s="20"/>
      <c r="F9" s="20"/>
      <c r="G9" s="18"/>
      <c r="H9" s="14"/>
    </row>
    <row r="10" spans="1:8" x14ac:dyDescent="0.3">
      <c r="A10" s="9"/>
      <c r="B10" s="18"/>
      <c r="C10" s="22"/>
      <c r="D10" s="20"/>
      <c r="E10" s="20"/>
      <c r="F10" s="20"/>
      <c r="G10" s="18"/>
      <c r="H10" s="14"/>
    </row>
    <row r="11" spans="1:8" x14ac:dyDescent="0.3">
      <c r="A11" s="9"/>
      <c r="B11" s="18"/>
      <c r="C11" s="22" t="s">
        <v>93</v>
      </c>
      <c r="D11" s="20"/>
      <c r="E11" s="20"/>
      <c r="F11" s="20"/>
      <c r="G11" s="18"/>
      <c r="H11" s="14"/>
    </row>
    <row r="12" spans="1:8" x14ac:dyDescent="0.3">
      <c r="A12" s="9"/>
      <c r="B12" s="18"/>
      <c r="C12" s="22" t="s">
        <v>79</v>
      </c>
      <c r="D12" s="20"/>
      <c r="E12" s="20"/>
      <c r="F12" s="20"/>
      <c r="G12" s="18"/>
      <c r="H12" s="14"/>
    </row>
    <row r="13" spans="1:8" x14ac:dyDescent="0.3">
      <c r="A13" s="9"/>
      <c r="B13" s="18"/>
      <c r="C13" s="22" t="s">
        <v>80</v>
      </c>
      <c r="D13" s="20"/>
      <c r="E13" s="20"/>
      <c r="F13" s="20"/>
      <c r="G13" s="18"/>
      <c r="H13" s="14"/>
    </row>
    <row r="14" spans="1:8" x14ac:dyDescent="0.3">
      <c r="A14" s="9"/>
      <c r="B14" s="18"/>
      <c r="C14" s="22"/>
      <c r="D14" s="20"/>
      <c r="E14" s="20"/>
      <c r="F14" s="20"/>
      <c r="G14" s="18"/>
      <c r="H14" s="14"/>
    </row>
    <row r="15" spans="1:8" ht="15.75" x14ac:dyDescent="0.35">
      <c r="A15" s="9"/>
      <c r="B15" s="18"/>
      <c r="C15" s="22" t="s">
        <v>81</v>
      </c>
      <c r="D15" s="20"/>
      <c r="E15" s="20"/>
      <c r="F15" s="20"/>
      <c r="G15" s="18"/>
      <c r="H15" s="14"/>
    </row>
    <row r="16" spans="1:8" x14ac:dyDescent="0.3">
      <c r="A16" s="9"/>
      <c r="B16" s="18"/>
      <c r="C16" s="23" t="s">
        <v>82</v>
      </c>
      <c r="D16" s="24" t="s">
        <v>83</v>
      </c>
      <c r="E16" s="25"/>
      <c r="F16" s="20"/>
      <c r="G16" s="18"/>
      <c r="H16" s="14"/>
    </row>
    <row r="17" spans="1:8" x14ac:dyDescent="0.3">
      <c r="A17" s="9"/>
      <c r="B17" s="18"/>
      <c r="C17" s="23" t="s">
        <v>84</v>
      </c>
      <c r="D17" s="26" t="s">
        <v>83</v>
      </c>
      <c r="E17" s="25" t="s">
        <v>85</v>
      </c>
      <c r="F17" s="20"/>
      <c r="G17" s="18"/>
      <c r="H17" s="14"/>
    </row>
    <row r="18" spans="1:8" x14ac:dyDescent="0.3">
      <c r="A18" s="9"/>
      <c r="B18" s="18"/>
      <c r="C18" s="23" t="s">
        <v>86</v>
      </c>
      <c r="D18" s="27" t="s">
        <v>87</v>
      </c>
      <c r="E18" s="25"/>
      <c r="F18" s="20"/>
      <c r="G18" s="18"/>
      <c r="H18" s="14"/>
    </row>
    <row r="19" spans="1:8" x14ac:dyDescent="0.3">
      <c r="A19" s="9"/>
      <c r="B19" s="18"/>
      <c r="C19" s="23"/>
      <c r="D19" s="25"/>
      <c r="E19" s="25"/>
      <c r="F19" s="20"/>
      <c r="G19" s="18"/>
      <c r="H19" s="14"/>
    </row>
    <row r="20" spans="1:8" x14ac:dyDescent="0.3">
      <c r="A20" s="9"/>
      <c r="B20" s="18"/>
      <c r="C20" s="28" t="s">
        <v>250</v>
      </c>
      <c r="D20" s="25"/>
      <c r="E20" s="25"/>
      <c r="F20" s="20"/>
      <c r="G20" s="18"/>
      <c r="H20" s="14"/>
    </row>
    <row r="21" spans="1:8" x14ac:dyDescent="0.3">
      <c r="A21" s="9"/>
      <c r="B21" s="18"/>
      <c r="C21" s="29" t="s">
        <v>95</v>
      </c>
      <c r="D21" s="30"/>
      <c r="E21" s="30"/>
      <c r="F21" s="20"/>
      <c r="G21" s="18"/>
      <c r="H21" s="14"/>
    </row>
    <row r="22" spans="1:8" x14ac:dyDescent="0.3">
      <c r="A22" s="9"/>
      <c r="B22" s="18"/>
      <c r="C22" s="29" t="s">
        <v>94</v>
      </c>
      <c r="D22" s="30"/>
      <c r="E22" s="30"/>
      <c r="F22" s="20"/>
      <c r="G22" s="18"/>
      <c r="H22" s="14"/>
    </row>
    <row r="23" spans="1:8" x14ac:dyDescent="0.3">
      <c r="A23" s="9"/>
      <c r="B23" s="18"/>
      <c r="C23" s="28" t="s">
        <v>251</v>
      </c>
      <c r="D23" s="30"/>
      <c r="E23" s="30"/>
      <c r="F23" s="20"/>
      <c r="G23" s="18"/>
      <c r="H23" s="14"/>
    </row>
    <row r="24" spans="1:8" x14ac:dyDescent="0.3">
      <c r="A24" s="9"/>
      <c r="B24" s="18"/>
      <c r="C24" s="29" t="s">
        <v>97</v>
      </c>
      <c r="D24" s="30"/>
      <c r="E24" s="30"/>
      <c r="F24" s="20"/>
      <c r="G24" s="18"/>
      <c r="H24" s="14"/>
    </row>
    <row r="25" spans="1:8" x14ac:dyDescent="0.3">
      <c r="A25" s="9"/>
      <c r="B25" s="18"/>
      <c r="C25" s="29" t="s">
        <v>96</v>
      </c>
      <c r="D25" s="30"/>
      <c r="E25" s="30"/>
      <c r="F25" s="20"/>
      <c r="G25" s="18"/>
      <c r="H25" s="14"/>
    </row>
    <row r="26" spans="1:8" x14ac:dyDescent="0.3">
      <c r="A26" s="9"/>
      <c r="B26" s="18"/>
      <c r="C26" s="22"/>
      <c r="D26" s="30"/>
      <c r="E26" s="30"/>
      <c r="F26" s="20"/>
      <c r="G26" s="18"/>
      <c r="H26" s="14"/>
    </row>
    <row r="27" spans="1:8" x14ac:dyDescent="0.3">
      <c r="A27" s="9"/>
      <c r="B27" s="18"/>
      <c r="C27" s="22" t="s">
        <v>98</v>
      </c>
      <c r="D27" s="30"/>
      <c r="E27" s="30"/>
      <c r="F27" s="20"/>
      <c r="G27" s="18"/>
      <c r="H27" s="14"/>
    </row>
    <row r="28" spans="1:8" x14ac:dyDescent="0.3">
      <c r="A28" s="9"/>
      <c r="B28" s="18"/>
      <c r="C28" s="22" t="s">
        <v>99</v>
      </c>
      <c r="D28" s="30"/>
      <c r="E28" s="30"/>
      <c r="F28" s="20"/>
      <c r="G28" s="18"/>
      <c r="H28" s="14"/>
    </row>
    <row r="29" spans="1:8" x14ac:dyDescent="0.3">
      <c r="A29" s="9"/>
      <c r="B29" s="18"/>
      <c r="C29" s="22" t="s">
        <v>100</v>
      </c>
      <c r="D29" s="30"/>
      <c r="E29" s="30"/>
      <c r="F29" s="20"/>
      <c r="G29" s="18"/>
      <c r="H29" s="14"/>
    </row>
    <row r="30" spans="1:8" x14ac:dyDescent="0.3">
      <c r="A30" s="9"/>
      <c r="B30" s="18"/>
      <c r="C30" s="22"/>
      <c r="D30" s="25"/>
      <c r="E30" s="25"/>
      <c r="F30" s="20"/>
      <c r="G30" s="18"/>
      <c r="H30" s="14"/>
    </row>
    <row r="31" spans="1:8" x14ac:dyDescent="0.3">
      <c r="A31" s="9"/>
      <c r="B31" s="18"/>
      <c r="C31" s="28" t="s">
        <v>88</v>
      </c>
      <c r="D31" s="25"/>
      <c r="E31" s="25"/>
      <c r="F31" s="20"/>
      <c r="G31" s="18"/>
      <c r="H31" s="14"/>
    </row>
    <row r="32" spans="1:8" x14ac:dyDescent="0.3">
      <c r="A32" s="9"/>
      <c r="B32" s="18"/>
      <c r="C32" s="31" t="s">
        <v>101</v>
      </c>
      <c r="D32" s="25"/>
      <c r="E32" s="25"/>
      <c r="F32" s="20"/>
      <c r="G32" s="18"/>
      <c r="H32" s="14"/>
    </row>
    <row r="33" spans="1:8" x14ac:dyDescent="0.3">
      <c r="A33" s="9"/>
      <c r="B33" s="18"/>
      <c r="C33" s="31" t="s">
        <v>116</v>
      </c>
      <c r="D33" s="25"/>
      <c r="E33" s="25"/>
      <c r="F33" s="20"/>
      <c r="G33" s="18"/>
      <c r="H33" s="14"/>
    </row>
    <row r="34" spans="1:8" x14ac:dyDescent="0.3">
      <c r="A34" s="9"/>
      <c r="B34" s="18"/>
      <c r="C34" s="31" t="s">
        <v>102</v>
      </c>
      <c r="D34" s="25"/>
      <c r="E34" s="25"/>
      <c r="F34" s="20"/>
      <c r="G34" s="18"/>
      <c r="H34" s="14"/>
    </row>
    <row r="35" spans="1:8" x14ac:dyDescent="0.3">
      <c r="A35" s="9"/>
      <c r="B35" s="18"/>
      <c r="C35" s="31" t="s">
        <v>103</v>
      </c>
      <c r="D35" s="25"/>
      <c r="E35" s="25"/>
      <c r="F35" s="20"/>
      <c r="G35" s="18"/>
      <c r="H35" s="14"/>
    </row>
    <row r="36" spans="1:8" ht="15.75" thickBot="1" x14ac:dyDescent="0.35">
      <c r="A36" s="9"/>
      <c r="B36" s="18"/>
      <c r="C36" s="32"/>
      <c r="D36" s="33"/>
      <c r="E36" s="33"/>
      <c r="F36" s="20"/>
      <c r="G36" s="18"/>
      <c r="H36" s="14"/>
    </row>
    <row r="37" spans="1:8" x14ac:dyDescent="0.3">
      <c r="A37" s="9"/>
      <c r="B37" s="15"/>
      <c r="C37" s="12"/>
      <c r="D37" s="12"/>
      <c r="E37" s="12"/>
      <c r="F37" s="12"/>
      <c r="G37" s="34"/>
      <c r="H37" s="14"/>
    </row>
    <row r="38" spans="1:8" ht="15.75" thickBot="1" x14ac:dyDescent="0.35">
      <c r="A38" s="9"/>
      <c r="B38" s="35"/>
      <c r="C38" s="16"/>
      <c r="D38" s="16"/>
      <c r="E38" s="16"/>
      <c r="F38" s="16"/>
      <c r="G38" s="36"/>
      <c r="H38" s="14"/>
    </row>
    <row r="39" spans="1:8" hidden="1" x14ac:dyDescent="0.3"/>
    <row r="40" spans="1:8" hidden="1" x14ac:dyDescent="0.3"/>
    <row r="41" spans="1:8" hidden="1" x14ac:dyDescent="0.3"/>
    <row r="42" spans="1:8" hidden="1" x14ac:dyDescent="0.3"/>
    <row r="43" spans="1:8" hidden="1" x14ac:dyDescent="0.3"/>
    <row r="44" spans="1:8" hidden="1" x14ac:dyDescent="0.3"/>
    <row r="45" spans="1:8" hidden="1" x14ac:dyDescent="0.3"/>
    <row r="46" spans="1:8" hidden="1" x14ac:dyDescent="0.3"/>
    <row r="47" spans="1:8" hidden="1" x14ac:dyDescent="0.3"/>
    <row r="48" spans="1:8" hidden="1" x14ac:dyDescent="0.3"/>
    <row r="49" hidden="1" x14ac:dyDescent="0.3"/>
    <row r="50" hidden="1" x14ac:dyDescent="0.3"/>
    <row r="51" ht="15" hidden="1" customHeight="1" x14ac:dyDescent="0.3"/>
    <row r="52" ht="15" hidden="1" customHeight="1" x14ac:dyDescent="0.3"/>
  </sheetData>
  <dataValidations count="1">
    <dataValidation allowBlank="1" showInputMessage="1" showErrorMessage="1" promptTitle="Nota bene:" prompt="Wanneer een veld in een sheet zó is weergegeven, heeft het al dan niet invullen van de informatie géén invloed op de uitkomst._x000a_Het veld heeft daarmee, als gevolg van andere ingevulde gegevens, in dit specifieke geval GEEN effect op de risico beoordeling." sqref="D17"/>
  </dataValidations>
  <pageMargins left="0.70866141732283472" right="0.70866141732283472" top="1.3385826771653544" bottom="0.74803149606299213" header="0.31496062992125984" footer="0.31496062992125984"/>
  <pageSetup paperSize="9" scale="96" orientation="landscape" r:id="rId1"/>
  <headerFooter>
    <oddHeader>&amp;L&amp;G&amp;RWorld Class Maintenance project: Risk Based CUI Management.</oddHeader>
    <oddFooter>&amp;L&amp;9File / Tab: &amp;F / &amp;A&amp;C&amp;9Printdatum: &amp;D&amp;R&amp;9Bladzijde &amp;P van &amp;N.</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K44"/>
  <sheetViews>
    <sheetView workbookViewId="0">
      <selection activeCell="D18" sqref="D18"/>
    </sheetView>
  </sheetViews>
  <sheetFormatPr defaultColWidth="0" defaultRowHeight="15" zeroHeight="1" x14ac:dyDescent="0.3"/>
  <cols>
    <col min="1" max="1" width="10.28515625" customWidth="1"/>
    <col min="2" max="2" width="6.140625" customWidth="1"/>
    <col min="3" max="3" width="70.7109375" customWidth="1"/>
    <col min="4" max="4" width="13" customWidth="1"/>
    <col min="5" max="5" width="3.28515625" customWidth="1"/>
    <col min="6" max="6" width="8" customWidth="1"/>
    <col min="7" max="7" width="67.85546875" customWidth="1"/>
    <col min="8" max="8" width="6.28515625" customWidth="1"/>
    <col min="9" max="9" width="27.7109375" bestFit="1" customWidth="1"/>
    <col min="10" max="10" width="6.28515625" customWidth="1"/>
    <col min="11" max="11" width="3.140625" customWidth="1"/>
    <col min="12" max="16384" width="9.140625" hidden="1"/>
  </cols>
  <sheetData>
    <row r="1" spans="1:10" x14ac:dyDescent="0.3">
      <c r="B1" s="1" t="s">
        <v>37</v>
      </c>
      <c r="F1" s="1" t="s">
        <v>64</v>
      </c>
    </row>
    <row r="2" spans="1:10" x14ac:dyDescent="0.3">
      <c r="A2" s="146" t="s">
        <v>0</v>
      </c>
      <c r="B2" s="146"/>
      <c r="C2" s="3" t="s">
        <v>1</v>
      </c>
      <c r="F2" t="s">
        <v>65</v>
      </c>
      <c r="G2" s="2" t="s">
        <v>38</v>
      </c>
    </row>
    <row r="3" spans="1:10" x14ac:dyDescent="0.3">
      <c r="B3" s="3" t="s">
        <v>2</v>
      </c>
      <c r="C3" s="3"/>
      <c r="H3" s="37">
        <f>10*SUM(H4:H39)/(36*2)</f>
        <v>6.5277777777777777</v>
      </c>
      <c r="I3" s="1" t="s">
        <v>105</v>
      </c>
      <c r="J3" s="37">
        <f>10*SUM(H4:H10)/(7*2)</f>
        <v>6.4285714285714288</v>
      </c>
    </row>
    <row r="4" spans="1:10" x14ac:dyDescent="0.3">
      <c r="B4" s="4" t="s">
        <v>32</v>
      </c>
      <c r="C4" s="3"/>
      <c r="D4" s="37">
        <f>10*SUM(D5:D8)/(4*2)</f>
        <v>5</v>
      </c>
      <c r="F4" s="7">
        <v>1</v>
      </c>
      <c r="G4" s="8" t="s">
        <v>52</v>
      </c>
      <c r="H4" s="6">
        <v>2</v>
      </c>
    </row>
    <row r="5" spans="1:10" x14ac:dyDescent="0.3">
      <c r="B5" s="3"/>
      <c r="C5" s="3" t="s">
        <v>33</v>
      </c>
      <c r="D5" s="6">
        <v>1</v>
      </c>
      <c r="F5" s="7">
        <v>2</v>
      </c>
      <c r="G5" s="8" t="s">
        <v>53</v>
      </c>
      <c r="H5" s="6">
        <v>1</v>
      </c>
    </row>
    <row r="6" spans="1:10" x14ac:dyDescent="0.3">
      <c r="B6" s="3"/>
      <c r="C6" s="3" t="s">
        <v>34</v>
      </c>
      <c r="D6" s="6">
        <v>1</v>
      </c>
      <c r="F6" s="7">
        <v>3</v>
      </c>
      <c r="G6" s="8" t="s">
        <v>54</v>
      </c>
      <c r="H6" s="6">
        <v>1</v>
      </c>
    </row>
    <row r="7" spans="1:10" x14ac:dyDescent="0.3">
      <c r="B7" s="3"/>
      <c r="C7" s="3" t="s">
        <v>35</v>
      </c>
      <c r="D7" s="6">
        <v>1</v>
      </c>
      <c r="F7" s="7">
        <v>4</v>
      </c>
      <c r="G7" s="8" t="s">
        <v>55</v>
      </c>
      <c r="H7" s="6">
        <v>1</v>
      </c>
    </row>
    <row r="8" spans="1:10" x14ac:dyDescent="0.3">
      <c r="B8" s="3"/>
      <c r="C8" s="3" t="s">
        <v>36</v>
      </c>
      <c r="D8" s="6">
        <v>1</v>
      </c>
      <c r="F8" s="7">
        <v>5</v>
      </c>
      <c r="G8" s="8" t="s">
        <v>56</v>
      </c>
      <c r="H8" s="6">
        <v>2</v>
      </c>
    </row>
    <row r="9" spans="1:10" x14ac:dyDescent="0.3">
      <c r="B9" s="4" t="s">
        <v>3</v>
      </c>
      <c r="C9" s="3"/>
      <c r="D9" s="37">
        <f>10*SUM(D10:D12)/(3*2)</f>
        <v>5</v>
      </c>
      <c r="F9" s="7">
        <v>6</v>
      </c>
      <c r="G9" s="8" t="s">
        <v>57</v>
      </c>
      <c r="H9" s="6">
        <v>1</v>
      </c>
    </row>
    <row r="10" spans="1:10" x14ac:dyDescent="0.3">
      <c r="B10" s="3"/>
      <c r="C10" s="3" t="s">
        <v>8</v>
      </c>
      <c r="D10" s="6">
        <v>0</v>
      </c>
      <c r="F10" s="7">
        <v>7</v>
      </c>
      <c r="G10" s="8" t="s">
        <v>58</v>
      </c>
      <c r="H10" s="6">
        <v>1</v>
      </c>
    </row>
    <row r="11" spans="1:10" x14ac:dyDescent="0.3">
      <c r="B11" s="3"/>
      <c r="C11" s="3" t="s">
        <v>9</v>
      </c>
      <c r="D11" s="6">
        <v>1</v>
      </c>
      <c r="F11" s="7">
        <v>8</v>
      </c>
      <c r="G11" s="8" t="s">
        <v>262</v>
      </c>
      <c r="H11" s="6">
        <v>1</v>
      </c>
      <c r="I11" s="1" t="s">
        <v>106</v>
      </c>
      <c r="J11" s="37">
        <f>10*SUM(H11:H14)/(4*2)</f>
        <v>6.25</v>
      </c>
    </row>
    <row r="12" spans="1:10" x14ac:dyDescent="0.3">
      <c r="B12" s="3"/>
      <c r="C12" s="3" t="s">
        <v>10</v>
      </c>
      <c r="D12" s="6">
        <v>2</v>
      </c>
      <c r="F12" s="7">
        <v>9</v>
      </c>
      <c r="G12" s="8" t="s">
        <v>115</v>
      </c>
      <c r="H12" s="6">
        <v>2</v>
      </c>
    </row>
    <row r="13" spans="1:10" x14ac:dyDescent="0.3">
      <c r="B13" s="4" t="s">
        <v>4</v>
      </c>
      <c r="C13" s="3"/>
      <c r="D13" s="37">
        <f>10*SUM(D14:D19)/(6*2)</f>
        <v>1.6666666666666667</v>
      </c>
      <c r="F13" s="7">
        <v>10</v>
      </c>
      <c r="G13" s="8" t="s">
        <v>59</v>
      </c>
      <c r="H13" s="6">
        <v>1</v>
      </c>
    </row>
    <row r="14" spans="1:10" x14ac:dyDescent="0.3">
      <c r="B14" s="4"/>
      <c r="C14" s="3" t="s">
        <v>11</v>
      </c>
      <c r="D14" s="6">
        <v>2</v>
      </c>
      <c r="F14" s="7">
        <v>11</v>
      </c>
      <c r="G14" s="8" t="s">
        <v>60</v>
      </c>
      <c r="H14" s="6">
        <v>1</v>
      </c>
    </row>
    <row r="15" spans="1:10" x14ac:dyDescent="0.3">
      <c r="B15" s="3"/>
      <c r="C15" s="3" t="s">
        <v>12</v>
      </c>
      <c r="D15" s="6"/>
      <c r="F15" s="7">
        <v>12</v>
      </c>
      <c r="G15" s="8" t="s">
        <v>61</v>
      </c>
      <c r="H15" s="6">
        <v>1</v>
      </c>
      <c r="I15" s="1" t="s">
        <v>107</v>
      </c>
      <c r="J15" s="37">
        <f>10*SUM(H15:H17)/(3*2)</f>
        <v>5</v>
      </c>
    </row>
    <row r="16" spans="1:10" x14ac:dyDescent="0.3">
      <c r="B16" s="3"/>
      <c r="C16" s="3" t="s">
        <v>13</v>
      </c>
      <c r="D16" s="6"/>
      <c r="F16" s="7">
        <v>13</v>
      </c>
      <c r="G16" s="8" t="s">
        <v>62</v>
      </c>
      <c r="H16" s="6">
        <v>1</v>
      </c>
    </row>
    <row r="17" spans="2:10" x14ac:dyDescent="0.3">
      <c r="B17" s="3"/>
      <c r="C17" s="3" t="s">
        <v>14</v>
      </c>
      <c r="D17" s="6"/>
      <c r="F17" s="7">
        <v>14</v>
      </c>
      <c r="G17" s="8" t="s">
        <v>63</v>
      </c>
      <c r="H17" s="6">
        <v>1</v>
      </c>
    </row>
    <row r="18" spans="2:10" x14ac:dyDescent="0.3">
      <c r="B18" s="3"/>
      <c r="C18" s="3" t="s">
        <v>15</v>
      </c>
      <c r="D18" s="6"/>
      <c r="F18" s="7">
        <v>15</v>
      </c>
      <c r="G18" s="8" t="s">
        <v>261</v>
      </c>
      <c r="H18" s="6">
        <v>2</v>
      </c>
      <c r="I18" s="1" t="s">
        <v>108</v>
      </c>
      <c r="J18" s="37">
        <f>10*SUM(H18:H26)/(9*2)</f>
        <v>8.3333333333333339</v>
      </c>
    </row>
    <row r="19" spans="2:10" x14ac:dyDescent="0.3">
      <c r="B19" s="3"/>
      <c r="C19" s="3" t="s">
        <v>16</v>
      </c>
      <c r="D19" s="6"/>
      <c r="F19" s="7">
        <v>16</v>
      </c>
      <c r="G19" s="8" t="s">
        <v>66</v>
      </c>
      <c r="H19" s="6">
        <v>2</v>
      </c>
    </row>
    <row r="20" spans="2:10" x14ac:dyDescent="0.3">
      <c r="B20" s="4" t="s">
        <v>5</v>
      </c>
      <c r="D20" s="37">
        <f>10*SUM(D21:D26)/(6*2)</f>
        <v>5</v>
      </c>
      <c r="F20" s="7">
        <v>17</v>
      </c>
      <c r="G20" s="8" t="s">
        <v>67</v>
      </c>
      <c r="H20" s="6">
        <v>1</v>
      </c>
    </row>
    <row r="21" spans="2:10" x14ac:dyDescent="0.3">
      <c r="C21" s="3" t="s">
        <v>17</v>
      </c>
      <c r="D21" s="6">
        <v>2</v>
      </c>
      <c r="F21" s="7">
        <v>18</v>
      </c>
      <c r="G21" s="8" t="s">
        <v>68</v>
      </c>
      <c r="H21" s="6">
        <v>1</v>
      </c>
    </row>
    <row r="22" spans="2:10" x14ac:dyDescent="0.3">
      <c r="C22" s="3" t="s">
        <v>18</v>
      </c>
      <c r="D22" s="6">
        <v>2</v>
      </c>
      <c r="F22" s="7">
        <v>19</v>
      </c>
      <c r="G22" s="8" t="s">
        <v>69</v>
      </c>
      <c r="H22" s="6">
        <v>1</v>
      </c>
    </row>
    <row r="23" spans="2:10" x14ac:dyDescent="0.3">
      <c r="C23" s="3" t="s">
        <v>19</v>
      </c>
      <c r="D23" s="6">
        <v>2</v>
      </c>
      <c r="F23" s="7">
        <v>20</v>
      </c>
      <c r="G23" s="8" t="s">
        <v>70</v>
      </c>
      <c r="H23" s="6">
        <v>2</v>
      </c>
    </row>
    <row r="24" spans="2:10" x14ac:dyDescent="0.3">
      <c r="C24" s="3" t="s">
        <v>20</v>
      </c>
      <c r="D24" s="6"/>
      <c r="F24" s="7">
        <v>21</v>
      </c>
      <c r="G24" s="8" t="s">
        <v>71</v>
      </c>
      <c r="H24" s="6">
        <v>2</v>
      </c>
    </row>
    <row r="25" spans="2:10" x14ac:dyDescent="0.3">
      <c r="C25" s="3" t="s">
        <v>21</v>
      </c>
      <c r="D25" s="6"/>
      <c r="F25" s="7">
        <v>22</v>
      </c>
      <c r="G25" s="8" t="s">
        <v>72</v>
      </c>
      <c r="H25" s="6">
        <v>2</v>
      </c>
    </row>
    <row r="26" spans="2:10" x14ac:dyDescent="0.3">
      <c r="C26" s="3" t="s">
        <v>22</v>
      </c>
      <c r="D26" s="6"/>
      <c r="F26" s="7">
        <v>23</v>
      </c>
      <c r="G26" s="8" t="s">
        <v>73</v>
      </c>
      <c r="H26" s="6">
        <v>2</v>
      </c>
    </row>
    <row r="27" spans="2:10" x14ac:dyDescent="0.3">
      <c r="B27" s="4" t="s">
        <v>6</v>
      </c>
      <c r="D27" s="37">
        <f>10*SUM(D28:D34)/(7*2)</f>
        <v>4.2857142857142856</v>
      </c>
      <c r="F27" s="7">
        <v>24</v>
      </c>
      <c r="G27" s="8" t="s">
        <v>51</v>
      </c>
      <c r="H27" s="6">
        <v>2</v>
      </c>
      <c r="I27" s="1" t="s">
        <v>109</v>
      </c>
      <c r="J27" s="37">
        <f>10*SUM(H27:H29)/(3*2)</f>
        <v>6.666666666666667</v>
      </c>
    </row>
    <row r="28" spans="2:10" x14ac:dyDescent="0.3">
      <c r="C28" s="3" t="s">
        <v>23</v>
      </c>
      <c r="D28" s="6">
        <v>2</v>
      </c>
      <c r="F28" s="7">
        <v>25</v>
      </c>
      <c r="G28" s="8" t="s">
        <v>50</v>
      </c>
      <c r="H28" s="6">
        <v>1</v>
      </c>
    </row>
    <row r="29" spans="2:10" x14ac:dyDescent="0.3">
      <c r="C29" s="3" t="s">
        <v>31</v>
      </c>
      <c r="D29" s="6">
        <v>2</v>
      </c>
      <c r="F29" s="7">
        <v>26</v>
      </c>
      <c r="G29" s="8" t="s">
        <v>49</v>
      </c>
      <c r="H29" s="6">
        <v>1</v>
      </c>
    </row>
    <row r="30" spans="2:10" x14ac:dyDescent="0.3">
      <c r="C30" s="3" t="s">
        <v>27</v>
      </c>
      <c r="D30" s="6">
        <v>2</v>
      </c>
      <c r="F30" s="7">
        <v>27</v>
      </c>
      <c r="G30" s="8" t="s">
        <v>48</v>
      </c>
      <c r="H30" s="6">
        <v>2</v>
      </c>
      <c r="I30" s="1" t="s">
        <v>110</v>
      </c>
      <c r="J30" s="37">
        <f>10*SUM(H30:H36)/(7*2)</f>
        <v>5.7142857142857144</v>
      </c>
    </row>
    <row r="31" spans="2:10" x14ac:dyDescent="0.3">
      <c r="C31" s="3" t="s">
        <v>28</v>
      </c>
      <c r="D31" s="6"/>
      <c r="F31" s="7">
        <v>28</v>
      </c>
      <c r="G31" s="8" t="s">
        <v>47</v>
      </c>
      <c r="H31" s="6">
        <v>1</v>
      </c>
    </row>
    <row r="32" spans="2:10" x14ac:dyDescent="0.3">
      <c r="C32" s="3" t="s">
        <v>26</v>
      </c>
      <c r="D32" s="6"/>
      <c r="F32" s="7">
        <v>29</v>
      </c>
      <c r="G32" s="8" t="s">
        <v>46</v>
      </c>
      <c r="H32" s="6">
        <v>2</v>
      </c>
    </row>
    <row r="33" spans="2:10" x14ac:dyDescent="0.3">
      <c r="C33" s="3" t="s">
        <v>29</v>
      </c>
      <c r="D33" s="6"/>
      <c r="F33" s="7">
        <v>30</v>
      </c>
      <c r="G33" s="8" t="s">
        <v>45</v>
      </c>
      <c r="H33" s="6">
        <v>0</v>
      </c>
    </row>
    <row r="34" spans="2:10" x14ac:dyDescent="0.3">
      <c r="C34" s="3" t="s">
        <v>30</v>
      </c>
      <c r="D34" s="6"/>
      <c r="F34" s="7">
        <v>31</v>
      </c>
      <c r="G34" s="8" t="s">
        <v>44</v>
      </c>
      <c r="H34" s="6">
        <v>1</v>
      </c>
    </row>
    <row r="35" spans="2:10" x14ac:dyDescent="0.3">
      <c r="B35" s="4" t="s">
        <v>7</v>
      </c>
      <c r="D35" s="37">
        <f>10*SUM(D36:D37)/(2*2)</f>
        <v>7.5</v>
      </c>
      <c r="F35" s="7">
        <v>32</v>
      </c>
      <c r="G35" s="8" t="s">
        <v>42</v>
      </c>
      <c r="H35" s="6">
        <v>2</v>
      </c>
    </row>
    <row r="36" spans="2:10" x14ac:dyDescent="0.3">
      <c r="C36" s="3" t="s">
        <v>24</v>
      </c>
      <c r="D36" s="6">
        <v>2</v>
      </c>
      <c r="F36" s="7">
        <v>33</v>
      </c>
      <c r="G36" s="8" t="s">
        <v>43</v>
      </c>
      <c r="H36" s="6">
        <v>0</v>
      </c>
    </row>
    <row r="37" spans="2:10" x14ac:dyDescent="0.3">
      <c r="C37" s="5" t="s">
        <v>25</v>
      </c>
      <c r="D37" s="6">
        <v>1</v>
      </c>
      <c r="F37" s="7">
        <v>34</v>
      </c>
      <c r="G37" s="8" t="s">
        <v>41</v>
      </c>
      <c r="H37" s="6">
        <v>1</v>
      </c>
      <c r="I37" s="1" t="s">
        <v>111</v>
      </c>
      <c r="J37" s="37">
        <f>10*SUM(H37:H39)/(3*2)</f>
        <v>5</v>
      </c>
    </row>
    <row r="38" spans="2:10" x14ac:dyDescent="0.3">
      <c r="F38" s="7">
        <v>35</v>
      </c>
      <c r="G38" s="8" t="s">
        <v>40</v>
      </c>
      <c r="H38" s="6">
        <v>1</v>
      </c>
    </row>
    <row r="39" spans="2:10" x14ac:dyDescent="0.3">
      <c r="B39" s="4" t="s">
        <v>263</v>
      </c>
      <c r="F39" s="7">
        <v>36</v>
      </c>
      <c r="G39" s="8" t="s">
        <v>39</v>
      </c>
      <c r="H39" s="6">
        <v>1</v>
      </c>
    </row>
    <row r="40" spans="2:10" x14ac:dyDescent="0.3">
      <c r="B40" s="145"/>
      <c r="C40" s="145"/>
    </row>
    <row r="41" spans="2:10" x14ac:dyDescent="0.3">
      <c r="B41" s="145"/>
      <c r="C41" s="145"/>
      <c r="F41" s="4" t="s">
        <v>263</v>
      </c>
    </row>
    <row r="42" spans="2:10" x14ac:dyDescent="0.3">
      <c r="B42" s="145"/>
      <c r="C42" s="145"/>
      <c r="F42" s="145"/>
      <c r="G42" s="145"/>
    </row>
    <row r="43" spans="2:10" x14ac:dyDescent="0.3">
      <c r="B43" s="145"/>
      <c r="C43" s="145"/>
      <c r="F43" s="145"/>
      <c r="G43" s="145"/>
    </row>
    <row r="44" spans="2:10" x14ac:dyDescent="0.3"/>
  </sheetData>
  <mergeCells count="7">
    <mergeCell ref="F42:G42"/>
    <mergeCell ref="F43:G43"/>
    <mergeCell ref="A2:B2"/>
    <mergeCell ref="B40:C40"/>
    <mergeCell ref="B41:C41"/>
    <mergeCell ref="B42:C42"/>
    <mergeCell ref="B43:C43"/>
  </mergeCells>
  <dataValidations count="6">
    <dataValidation type="list" allowBlank="1" showInputMessage="1" showErrorMessage="1" promptTitle="Invulling:" prompt="0= niet aanwezig_x000a_1= aanwezig, afwijkend ingevuld tov de best practise_x000a_2= compleet ingevuld conform de best practise" sqref="D36 D10:D12 D14:D19 D21:D26 D28:D34 D2:D3 D5:D8 H4:H39">
      <formula1>"0,1,2"</formula1>
    </dataValidation>
    <dataValidation type="custom" showInputMessage="1" showErrorMessage="1" errorTitle="Nota bene:" error="Deze cel is afgeschermd tegen wijziging, om ombedoelde verandering uit te sluiten." promptTitle="Resultante" prompt="De resultante, op een schaal van 0 tot 10, van de hieronder weergegeven punten voor de beoordeling." sqref="H3 D4 D9 D13 D20 D27 D35">
      <formula1>0</formula1>
    </dataValidation>
    <dataValidation type="custom" showInputMessage="1" showErrorMessage="1" errorTitle="Nota bene:" error="Deze cel is afgeschermd tegen wijziging, om ombedoelde verandering uit te sluiten." promptTitle="Resultante" prompt="De resultante, op een schaal van 0 tot 10, van de in de kolom hiervoor weergegeven punten voor de beoordeling." sqref="J37 J30 J27 J18 J15 J11 J3">
      <formula1>0</formula1>
    </dataValidation>
    <dataValidation type="custom" showInputMessage="1" showErrorMessage="1" errorTitle="Nota bene" error="Deze cel is afgeschermd tegen onbedoelde wijziging." sqref="F4:F39 G4:G10 G12:G39">
      <formula1>0</formula1>
    </dataValidation>
    <dataValidation type="custom" showInputMessage="1" showErrorMessage="1" errorTitle="Nota bene" error="Deze cel is afgeschermd tegen onbedoelde wijziging." sqref="G11">
      <formula1>0</formula1>
    </dataValidation>
    <dataValidation allowBlank="1" showInputMessage="1" showErrorMessage="1" promptTitle="Bevindingen:" prompt="Markeer hier de belangrijkste issues die tijdens het invullen aan het licht kwamen. Dit kan het CUI management proces betreffen en kan ook de manier van beoordelen betreffen." sqref="B39:C43 F41:G43"/>
  </dataValidations>
  <pageMargins left="0.70866141732283472" right="0.70866141732283472" top="1.3385826771653544" bottom="0.74803149606299213" header="0.31496062992125984" footer="0.31496062992125984"/>
  <pageSetup paperSize="9" scale="63" orientation="landscape" r:id="rId1"/>
  <headerFooter>
    <oddHeader>&amp;L&amp;G&amp;RWorld Class Maintenance project: Risk Based CUI Management.</oddHeader>
    <oddFooter>&amp;L&amp;9File / Tab: &amp;F / &amp;A&amp;C&amp;9Printdatum: &amp;D&amp;R&amp;9Bladzijde &amp;P van &amp;N.</oddFooter>
  </headerFooter>
  <ignoredErrors>
    <ignoredError sqref="J3 J11 J30 J37 J27 J18 J15" formulaRange="1"/>
  </ignoredErrors>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B7"/>
  <sheetViews>
    <sheetView workbookViewId="0">
      <selection activeCell="D18" sqref="D18"/>
    </sheetView>
  </sheetViews>
  <sheetFormatPr defaultColWidth="0" defaultRowHeight="15" zeroHeight="1" x14ac:dyDescent="0.3"/>
  <cols>
    <col min="1" max="1" width="64.28515625" customWidth="1"/>
    <col min="2" max="2" width="64.140625" customWidth="1"/>
    <col min="3" max="16384" width="9.140625" hidden="1"/>
  </cols>
  <sheetData>
    <row r="1" spans="1:2" ht="18" x14ac:dyDescent="0.35">
      <c r="A1" s="39" t="s">
        <v>104</v>
      </c>
    </row>
    <row r="2" spans="1:2" ht="266.25" customHeight="1" x14ac:dyDescent="0.3">
      <c r="B2" s="38" t="str">
        <f>"Overall resultaat:"&amp;""&amp;ROUND('Gap-analyse'!H3,1)</f>
        <v>Overall resultaat:6,5</v>
      </c>
    </row>
    <row r="3" spans="1:2" ht="18" x14ac:dyDescent="0.3">
      <c r="A3" s="147" t="s">
        <v>114</v>
      </c>
      <c r="B3" s="147"/>
    </row>
    <row r="4" spans="1:2" ht="18.75" x14ac:dyDescent="0.3">
      <c r="A4" s="43">
        <f>'Gap-analyse'!D4*'Gap-analyse'!D9*'Gap-analyse'!D13*'Gap-analyse'!D20*'Gap-analyse'!D27*'Gap-analyse'!D35/10^6</f>
        <v>6.6964285714285728E-3</v>
      </c>
      <c r="B4" s="43">
        <f>PRODUCT('Gap-analyse'!J3:J37)/10^7</f>
        <v>3.1887755102040824E-2</v>
      </c>
    </row>
    <row r="5" spans="1:2" ht="15.75" thickBot="1" x14ac:dyDescent="0.35">
      <c r="B5" s="144" t="s">
        <v>113</v>
      </c>
    </row>
    <row r="6" spans="1:2" x14ac:dyDescent="0.3">
      <c r="A6" s="41">
        <f ca="1">NOW()</f>
        <v>44372.744668402775</v>
      </c>
      <c r="B6" s="40" t="s">
        <v>259</v>
      </c>
    </row>
    <row r="7" spans="1:2" x14ac:dyDescent="0.3">
      <c r="A7" s="42" t="s">
        <v>112</v>
      </c>
      <c r="B7" s="40" t="s">
        <v>260</v>
      </c>
    </row>
  </sheetData>
  <mergeCells count="1">
    <mergeCell ref="A3:B3"/>
  </mergeCells>
  <dataValidations count="5">
    <dataValidation type="custom" showInputMessage="1" showErrorMessage="1" errorTitle="Nota bene:" error="Deze cel is afgeschermd om onbedoelde verandering van de resulaten te voorkomen." sqref="A6 A3 B3">
      <formula1>0</formula1>
    </dataValidation>
    <dataValidation type="custom" showInputMessage="1" showErrorMessage="1" errorTitle="Nota bene:" error="Deze cel is afgeschermd om onbedoelde verandering van de resulaten te voorkomen." promptTitle="Effectiviteits reductie:" prompt="Het product van alle subresultaten op basis van de toegepaste tooling (dus cijfer van 1-10) gedeeld door 10." sqref="A4">
      <formula1>0</formula1>
    </dataValidation>
    <dataValidation type="custom" showInputMessage="1" showErrorMessage="1" errorTitle="Nota bene:" error="Deze cel is afgeschermd om onbedoelde verandering van de resulaten te voorkomen." promptTitle="Effectiviteitsreductie- vlgs HLS" prompt="Het product van alle subresultaten op basis van de toegepaste HLS structuur (dus cijfer van 1-10) gedeeld door 10." sqref="B4">
      <formula1>0</formula1>
    </dataValidation>
    <dataValidation allowBlank="1" showInputMessage="1" showErrorMessage="1" promptTitle="Gemiddelde score:" prompt="Dit is de gemiddelde score volgens HLS, over álle punten gemeten. Dit is te vergelijken met het gemiddelde rapportcijfer van een serie cijfers._x000a_Dat gemiddelde geeft géén garantie dat voldaan wordt aan de gestelde voorwaarden." sqref="B2"/>
    <dataValidation type="custom" showInputMessage="1" showErrorMessage="1" errorTitle="Nota bene;" error="Deze cel is afgeschermd om onbedoelde wijziging te voorkomen." promptTitle="Opmerkingen tav resultaat:" prompt="Opmerkingen m.b.t. het resultaat zijn hier te plaatsen._x000a_Merk op dat de effectiviteitsfactor laat zien dat iedere afzonderlijke factor een direct effect heeft en NIET door andere factoren wordt gecompeneerd._x000a_Daarom is het product van de factoren bepalend." sqref="B5">
      <formula1>0</formula1>
    </dataValidation>
  </dataValidations>
  <pageMargins left="0.70866141732283472" right="0.70866141732283472" top="1.5354330708661419" bottom="0.74803149606299213" header="0.31496062992125984" footer="0.31496062992125984"/>
  <pageSetup paperSize="9" orientation="landscape" r:id="rId1"/>
  <headerFooter>
    <oddHeader>&amp;L&amp;G&amp;RWorld Class Maintenance project: Risk Based CUI Management.</oddHeader>
    <oddFooter>&amp;L&amp;9File / Tab: &amp;F / &amp;A&amp;C&amp;9Printdatum: &amp;D&amp;R&amp;9Bladzijde &amp;P van &amp;N.</oddFoot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G54"/>
  <sheetViews>
    <sheetView zoomScale="85" zoomScaleNormal="85" workbookViewId="0">
      <selection activeCell="C6" sqref="C6"/>
    </sheetView>
  </sheetViews>
  <sheetFormatPr defaultRowHeight="15" zeroHeight="1" x14ac:dyDescent="0.3"/>
  <cols>
    <col min="1" max="1" width="5.28515625" customWidth="1"/>
    <col min="2" max="2" width="20.28515625" customWidth="1"/>
    <col min="3" max="3" width="15.85546875" customWidth="1"/>
    <col min="4" max="4" width="15.28515625" customWidth="1"/>
    <col min="5" max="5" width="11" customWidth="1"/>
    <col min="6" max="6" width="15.42578125" customWidth="1"/>
    <col min="7" max="7" width="28.42578125" customWidth="1"/>
    <col min="8" max="8" width="19.7109375" customWidth="1"/>
    <col min="9" max="9" width="6.42578125" customWidth="1"/>
    <col min="15" max="15" width="2.85546875" customWidth="1"/>
    <col min="16" max="20" width="8.7109375" customWidth="1"/>
    <col min="21" max="21" width="2.85546875" customWidth="1"/>
    <col min="22" max="26" width="8.7109375" customWidth="1"/>
    <col min="27" max="27" width="3" customWidth="1"/>
    <col min="28" max="32" width="8.7109375" customWidth="1"/>
    <col min="33" max="33" width="2.42578125" customWidth="1"/>
  </cols>
  <sheetData>
    <row r="1" spans="2:14" ht="18.75" x14ac:dyDescent="0.3">
      <c r="B1" s="95" t="s">
        <v>220</v>
      </c>
    </row>
    <row r="2" spans="2:14" x14ac:dyDescent="0.3">
      <c r="B2" s="98" t="s">
        <v>221</v>
      </c>
      <c r="C2" s="99"/>
    </row>
    <row r="3" spans="2:14" x14ac:dyDescent="0.3">
      <c r="B3" s="2" t="s">
        <v>222</v>
      </c>
    </row>
    <row r="4" spans="2:14" x14ac:dyDescent="0.3">
      <c r="B4" s="2" t="s">
        <v>223</v>
      </c>
    </row>
    <row r="5" spans="2:14" x14ac:dyDescent="0.3">
      <c r="B5" s="2" t="s">
        <v>224</v>
      </c>
    </row>
    <row r="6" spans="2:14" x14ac:dyDescent="0.3">
      <c r="B6" s="2" t="s">
        <v>225</v>
      </c>
    </row>
    <row r="7" spans="2:14" x14ac:dyDescent="0.3">
      <c r="B7" s="2" t="s">
        <v>226</v>
      </c>
    </row>
    <row r="8" spans="2:14" x14ac:dyDescent="0.3">
      <c r="B8" s="2" t="s">
        <v>227</v>
      </c>
    </row>
    <row r="9" spans="2:14" ht="15.75" thickBot="1" x14ac:dyDescent="0.35">
      <c r="B9" s="133" t="s">
        <v>252</v>
      </c>
      <c r="C9" s="132"/>
      <c r="D9" s="134"/>
      <c r="E9" s="134"/>
      <c r="F9" s="134"/>
      <c r="G9" s="134"/>
      <c r="H9" s="133" t="s">
        <v>258</v>
      </c>
      <c r="I9" s="132"/>
      <c r="J9" s="134"/>
      <c r="K9" s="134"/>
      <c r="L9" s="134"/>
      <c r="M9" s="134"/>
      <c r="N9" s="134"/>
    </row>
    <row r="10" spans="2:14" ht="15.75" thickTop="1" x14ac:dyDescent="0.3">
      <c r="B10" s="139" t="s">
        <v>255</v>
      </c>
      <c r="C10" s="140"/>
      <c r="D10" s="140"/>
      <c r="E10" s="140"/>
      <c r="F10" s="140"/>
      <c r="G10" s="141"/>
      <c r="H10" s="148"/>
      <c r="I10" s="149"/>
      <c r="J10" s="149"/>
      <c r="K10" s="149"/>
      <c r="L10" s="149"/>
      <c r="M10" s="149"/>
      <c r="N10" s="150"/>
    </row>
    <row r="11" spans="2:14" x14ac:dyDescent="0.3">
      <c r="B11" s="143" t="s">
        <v>256</v>
      </c>
      <c r="C11" s="140"/>
      <c r="D11" s="140"/>
      <c r="E11" s="140"/>
      <c r="F11" s="140"/>
      <c r="G11" s="141"/>
      <c r="H11" s="142"/>
      <c r="I11" s="140"/>
      <c r="J11" s="140"/>
      <c r="K11" s="140"/>
      <c r="L11" s="140"/>
      <c r="M11" s="140"/>
      <c r="N11" s="141"/>
    </row>
    <row r="12" spans="2:14" x14ac:dyDescent="0.3">
      <c r="B12" s="139" t="s">
        <v>253</v>
      </c>
      <c r="C12" s="140"/>
      <c r="D12" s="140"/>
      <c r="E12" s="140"/>
      <c r="F12" s="140"/>
      <c r="G12" s="141"/>
      <c r="H12" s="151"/>
      <c r="I12" s="152"/>
      <c r="J12" s="152"/>
      <c r="K12" s="152"/>
      <c r="L12" s="152"/>
      <c r="M12" s="152"/>
      <c r="N12" s="153"/>
    </row>
    <row r="13" spans="2:14" x14ac:dyDescent="0.3">
      <c r="B13" s="139" t="s">
        <v>257</v>
      </c>
      <c r="C13" s="140"/>
      <c r="D13" s="140"/>
      <c r="E13" s="140"/>
      <c r="F13" s="140"/>
      <c r="G13" s="141"/>
      <c r="H13" s="151"/>
      <c r="I13" s="152"/>
      <c r="J13" s="152"/>
      <c r="K13" s="152"/>
      <c r="L13" s="152"/>
      <c r="M13" s="152"/>
      <c r="N13" s="153"/>
    </row>
    <row r="14" spans="2:14" x14ac:dyDescent="0.3">
      <c r="B14" s="139" t="s">
        <v>254</v>
      </c>
      <c r="C14" s="140"/>
      <c r="D14" s="140"/>
      <c r="E14" s="140"/>
      <c r="F14" s="140"/>
      <c r="G14" s="141"/>
      <c r="H14" s="151"/>
      <c r="I14" s="152"/>
      <c r="J14" s="152"/>
      <c r="K14" s="152"/>
      <c r="L14" s="152"/>
      <c r="M14" s="152"/>
      <c r="N14" s="153"/>
    </row>
    <row r="15" spans="2:14" ht="15.75" thickBot="1" x14ac:dyDescent="0.35">
      <c r="B15" s="98" t="s">
        <v>228</v>
      </c>
      <c r="C15" s="99"/>
      <c r="G15" s="98" t="s">
        <v>246</v>
      </c>
      <c r="H15" s="99"/>
      <c r="I15" s="99"/>
      <c r="J15" s="40"/>
      <c r="K15" s="40"/>
      <c r="L15" s="40"/>
      <c r="M15" s="40"/>
      <c r="N15" s="40"/>
    </row>
    <row r="16" spans="2:14" x14ac:dyDescent="0.3">
      <c r="B16" s="96" t="s">
        <v>229</v>
      </c>
      <c r="C16" s="24" t="s">
        <v>237</v>
      </c>
      <c r="D16" s="101" t="s">
        <v>238</v>
      </c>
      <c r="G16" s="96" t="s">
        <v>249</v>
      </c>
      <c r="H16" s="115">
        <v>100</v>
      </c>
      <c r="L16" s="119" t="s">
        <v>240</v>
      </c>
      <c r="M16" s="117"/>
      <c r="N16" s="118"/>
    </row>
    <row r="17" spans="1:33" ht="15.75" thickBot="1" x14ac:dyDescent="0.35">
      <c r="B17" s="97" t="s">
        <v>230</v>
      </c>
      <c r="C17" s="24" t="s">
        <v>164</v>
      </c>
      <c r="D17" s="100">
        <f>INDEX(Risk_MOTBF,FIND(LEFT(C16,1),"J_O_N"),IFERROR(IF(SEARCH("E",CONCATENATE(C17,C18,C19,C20,C21,C22,C23))&gt;0,5,0),IFERROR(IF(SEARCH("D",CONCATENATE(C17,C18,C19,C20,C21,C22,C23))&gt;0,4,0),IFERROR(IF(SEARCH("C",CONCATENATE(C17,C18,C19,C20,C21,C22,C23))&gt;0,3,0),IFERROR(IF(SEARCH("B",CONCATENATE(C17,C18,C19,C20,C21,C22,C23))&gt;0,2,0),IFERROR(IF(SEARCH("A",CONCATENATE(C17,C18,C19,C20,C21,C22,C23))&gt;0,1,0),"?"))))))</f>
        <v>1100</v>
      </c>
      <c r="L17" s="110" t="s">
        <v>241</v>
      </c>
      <c r="M17" s="111" t="s">
        <v>242</v>
      </c>
      <c r="N17" s="112" t="s">
        <v>243</v>
      </c>
    </row>
    <row r="18" spans="1:33" x14ac:dyDescent="0.3">
      <c r="B18" s="97" t="s">
        <v>231</v>
      </c>
      <c r="C18" s="24"/>
      <c r="D18" s="122"/>
      <c r="E18" s="106">
        <f>Resultaat!A4</f>
        <v>6.6964285714285728E-3</v>
      </c>
      <c r="F18" s="107">
        <f>(1-E18)*$D$17</f>
        <v>1092.6339285714284</v>
      </c>
      <c r="L18" s="129" t="s">
        <v>162</v>
      </c>
      <c r="M18" s="135">
        <v>0.99</v>
      </c>
      <c r="N18" s="137">
        <v>1</v>
      </c>
    </row>
    <row r="19" spans="1:33" x14ac:dyDescent="0.3">
      <c r="B19" s="97" t="s">
        <v>232</v>
      </c>
      <c r="C19" s="24"/>
      <c r="D19" s="123"/>
      <c r="E19" s="108">
        <f>Resultaat!B4</f>
        <v>3.1887755102040824E-2</v>
      </c>
      <c r="F19" s="109">
        <f>(1-E19)*$D$17</f>
        <v>1064.9234693877552</v>
      </c>
      <c r="L19" s="130" t="s">
        <v>163</v>
      </c>
      <c r="M19" s="135">
        <v>0.9</v>
      </c>
      <c r="N19" s="137">
        <v>0.65</v>
      </c>
    </row>
    <row r="20" spans="1:33" x14ac:dyDescent="0.3">
      <c r="B20" s="97" t="s">
        <v>233</v>
      </c>
      <c r="C20" s="24" t="s">
        <v>163</v>
      </c>
      <c r="D20" s="124"/>
      <c r="G20" s="102">
        <f>AVERAGE(F18:F19)</f>
        <v>1078.7786989795918</v>
      </c>
      <c r="H20" s="103"/>
      <c r="L20" s="130" t="s">
        <v>164</v>
      </c>
      <c r="M20" s="135">
        <v>0.7</v>
      </c>
      <c r="N20" s="137">
        <v>0.35</v>
      </c>
    </row>
    <row r="21" spans="1:33" x14ac:dyDescent="0.3">
      <c r="B21" s="97" t="s">
        <v>234</v>
      </c>
      <c r="C21" s="24"/>
      <c r="D21" s="124"/>
      <c r="G21" s="104">
        <f>ABS(F18-F19)/2</f>
        <v>13.855229591836633</v>
      </c>
      <c r="H21" s="105">
        <f>G21/G20</f>
        <v>1.2843440091042012E-2</v>
      </c>
      <c r="L21" s="130" t="s">
        <v>165</v>
      </c>
      <c r="M21" s="135">
        <v>0.3</v>
      </c>
      <c r="N21" s="137">
        <v>0.05</v>
      </c>
    </row>
    <row r="22" spans="1:33" ht="15.75" thickBot="1" x14ac:dyDescent="0.35">
      <c r="B22" s="97" t="s">
        <v>235</v>
      </c>
      <c r="C22" s="24"/>
      <c r="D22" s="124"/>
      <c r="G22" s="113" t="s">
        <v>244</v>
      </c>
      <c r="L22" s="131" t="s">
        <v>166</v>
      </c>
      <c r="M22" s="136">
        <v>0</v>
      </c>
      <c r="N22" s="138"/>
    </row>
    <row r="23" spans="1:33" ht="15.75" thickBot="1" x14ac:dyDescent="0.35">
      <c r="B23" s="97" t="s">
        <v>236</v>
      </c>
      <c r="C23" s="24"/>
      <c r="D23" s="125"/>
      <c r="G23" s="114">
        <f>G20-G25</f>
        <v>970.90082908163265</v>
      </c>
      <c r="H23" s="116">
        <f>G23-H16</f>
        <v>870.90082908163265</v>
      </c>
      <c r="L23" s="120"/>
    </row>
    <row r="24" spans="1:33" x14ac:dyDescent="0.3">
      <c r="B24" s="97"/>
      <c r="G24" s="113" t="s">
        <v>245</v>
      </c>
      <c r="L24" s="120"/>
    </row>
    <row r="25" spans="1:33" x14ac:dyDescent="0.3">
      <c r="A25" s="120"/>
      <c r="B25" s="121" t="s">
        <v>239</v>
      </c>
      <c r="C25" s="24" t="s">
        <v>163</v>
      </c>
      <c r="D25" s="126">
        <f>VLOOKUP(C25,NDTEff,2,FALSE)</f>
        <v>0.9</v>
      </c>
      <c r="E25" s="127" t="s">
        <v>247</v>
      </c>
      <c r="F25" s="127" t="s">
        <v>247</v>
      </c>
      <c r="G25" s="128">
        <f>(1-D25)*G20</f>
        <v>107.87786989795916</v>
      </c>
      <c r="H25" s="120"/>
      <c r="I25" s="120"/>
      <c r="J25" s="120"/>
      <c r="K25" s="120"/>
      <c r="L25" s="120"/>
    </row>
    <row r="26" spans="1:33" x14ac:dyDescent="0.3">
      <c r="B26" s="2"/>
    </row>
    <row r="27" spans="1:33" ht="18" x14ac:dyDescent="0.35">
      <c r="B27" s="44" t="s">
        <v>117</v>
      </c>
      <c r="E27" s="45" t="s">
        <v>118</v>
      </c>
      <c r="O27" s="46"/>
      <c r="P27" s="1" t="s">
        <v>119</v>
      </c>
      <c r="R27" s="47" t="s">
        <v>120</v>
      </c>
      <c r="U27" s="46"/>
      <c r="V27" s="1" t="s">
        <v>121</v>
      </c>
      <c r="X27" s="47" t="s">
        <v>120</v>
      </c>
      <c r="AA27" s="46"/>
      <c r="AB27" s="1" t="s">
        <v>122</v>
      </c>
      <c r="AE27" s="47" t="s">
        <v>123</v>
      </c>
      <c r="AG27" s="46"/>
    </row>
    <row r="28" spans="1:33" ht="15.75" thickBot="1" x14ac:dyDescent="0.35">
      <c r="B28" s="48" t="s">
        <v>123</v>
      </c>
      <c r="C28" s="48" t="s">
        <v>124</v>
      </c>
      <c r="D28" s="48" t="s">
        <v>125</v>
      </c>
      <c r="E28" s="48" t="s">
        <v>126</v>
      </c>
      <c r="F28" s="48" t="s">
        <v>127</v>
      </c>
      <c r="G28" s="48" t="s">
        <v>128</v>
      </c>
      <c r="H28" s="48"/>
      <c r="I28" s="48" t="s">
        <v>129</v>
      </c>
      <c r="O28" s="46"/>
      <c r="P28" s="49" t="str">
        <f>"&lt;"&amp;Q28</f>
        <v>&lt;0,000005</v>
      </c>
      <c r="Q28" s="50">
        <v>5.0000000000000004E-6</v>
      </c>
      <c r="R28" s="51">
        <v>5.0000000000000001E-4</v>
      </c>
      <c r="S28" s="52">
        <v>0.05</v>
      </c>
      <c r="T28" s="53">
        <v>5</v>
      </c>
      <c r="U28" s="46"/>
      <c r="V28" s="49" t="str">
        <f>"&lt;"&amp;W28</f>
        <v>&lt;0,0005</v>
      </c>
      <c r="W28" s="50">
        <v>5.0000000000000001E-4</v>
      </c>
      <c r="X28" s="51">
        <v>0.05</v>
      </c>
      <c r="Y28" s="52">
        <v>5</v>
      </c>
      <c r="Z28" s="53">
        <v>500</v>
      </c>
      <c r="AA28" s="46"/>
      <c r="AB28" s="49" t="str">
        <f>"&lt;"&amp;AC28</f>
        <v>&lt;0,01</v>
      </c>
      <c r="AC28" s="50">
        <v>0.01</v>
      </c>
      <c r="AD28" s="51">
        <v>1</v>
      </c>
      <c r="AE28" s="52">
        <v>100</v>
      </c>
      <c r="AF28" s="53">
        <v>10000</v>
      </c>
      <c r="AG28" s="46"/>
    </row>
    <row r="29" spans="1:33" ht="60" x14ac:dyDescent="0.3">
      <c r="A29" s="155" t="s">
        <v>130</v>
      </c>
      <c r="B29" s="54" t="s">
        <v>131</v>
      </c>
      <c r="C29" s="55">
        <v>0</v>
      </c>
      <c r="D29" s="56" t="s">
        <v>132</v>
      </c>
      <c r="E29" s="57">
        <v>1</v>
      </c>
      <c r="F29" s="56" t="s">
        <v>133</v>
      </c>
      <c r="G29" s="40" t="s">
        <v>134</v>
      </c>
      <c r="H29" s="40" t="s">
        <v>135</v>
      </c>
      <c r="I29" s="58">
        <v>5</v>
      </c>
      <c r="J29" s="59"/>
      <c r="K29" s="60"/>
      <c r="L29" s="60"/>
      <c r="M29" s="61"/>
      <c r="N29" s="62" t="s">
        <v>136</v>
      </c>
      <c r="P29" s="56">
        <f>0.1*$E$38*10^-2</f>
        <v>0.01</v>
      </c>
      <c r="Q29" s="56">
        <f>0.1*$E$39*10^-2</f>
        <v>0.1</v>
      </c>
      <c r="R29" s="63">
        <f>0.1*$E$40*10^-2</f>
        <v>1</v>
      </c>
      <c r="S29" s="63">
        <f>0.1*$E$41*10^-2</f>
        <v>10</v>
      </c>
      <c r="T29" s="63">
        <f>1*$E$41*10^-2</f>
        <v>100</v>
      </c>
      <c r="V29" s="63">
        <f>$E$38*10^-1</f>
        <v>1</v>
      </c>
      <c r="W29" s="63">
        <f>$E$39*10^-1</f>
        <v>10</v>
      </c>
      <c r="X29" s="63">
        <f>$E$40*10^-1</f>
        <v>100</v>
      </c>
      <c r="Y29" s="63">
        <f>$E$41*10^-1</f>
        <v>1000</v>
      </c>
      <c r="Z29" s="63">
        <f>10*$E$41*10^-1</f>
        <v>10000</v>
      </c>
      <c r="AB29" s="63">
        <f>((0+10)/2)/((0+1)/2)</f>
        <v>10</v>
      </c>
      <c r="AC29" s="63">
        <f>((10+100)/2)/((0+1)/2)</f>
        <v>110</v>
      </c>
      <c r="AD29" s="63">
        <f>((100+1000)/2)/((0+1)/2)</f>
        <v>1100</v>
      </c>
      <c r="AE29" s="63">
        <f>((1000+10000)/2)/((0+1)/2)</f>
        <v>11000</v>
      </c>
      <c r="AF29" s="63">
        <f>(10000*AVERAGE(5,5.5,5.5,5.5))/((0+1)/2)</f>
        <v>107500</v>
      </c>
    </row>
    <row r="30" spans="1:33" ht="60" x14ac:dyDescent="0.3">
      <c r="A30" s="155"/>
      <c r="B30" s="54" t="s">
        <v>137</v>
      </c>
      <c r="C30" s="55">
        <v>1</v>
      </c>
      <c r="D30" s="56" t="s">
        <v>138</v>
      </c>
      <c r="E30" s="57">
        <v>0.01</v>
      </c>
      <c r="F30" s="56" t="s">
        <v>139</v>
      </c>
      <c r="G30" s="40" t="s">
        <v>140</v>
      </c>
      <c r="H30" s="40" t="s">
        <v>141</v>
      </c>
      <c r="I30" s="58">
        <v>4</v>
      </c>
      <c r="J30" s="59"/>
      <c r="K30" s="59"/>
      <c r="L30" s="60"/>
      <c r="M30" s="60" t="s">
        <v>142</v>
      </c>
      <c r="N30" s="61"/>
      <c r="P30" s="56">
        <f>0.1*$E$38*10^-3</f>
        <v>1E-3</v>
      </c>
      <c r="Q30" s="56">
        <f>0.1*$E$39*10^-3</f>
        <v>0.01</v>
      </c>
      <c r="R30" s="56">
        <f>0.1*$E$40*10^-3</f>
        <v>0.1</v>
      </c>
      <c r="S30" s="63">
        <f>0.1*$E$41*10^-3</f>
        <v>1</v>
      </c>
      <c r="T30" s="63">
        <f>1*$E$41*10^-3</f>
        <v>10</v>
      </c>
      <c r="V30" s="64">
        <f>$E$38*10^-2</f>
        <v>0.1</v>
      </c>
      <c r="W30" s="63">
        <f>$E$39*10^-2</f>
        <v>1</v>
      </c>
      <c r="X30" s="63">
        <f>$E$40*10^-2</f>
        <v>10</v>
      </c>
      <c r="Y30" s="63">
        <f>$E$41*10^-2</f>
        <v>100</v>
      </c>
      <c r="Z30" s="63">
        <f>10*$E$41*10^-2</f>
        <v>1000</v>
      </c>
      <c r="AB30" s="65">
        <f>((0+10)/2)/((1+5)/2)</f>
        <v>1.6666666666666667</v>
      </c>
      <c r="AC30" s="63">
        <f>((10+100)/2)/((1+5)/2)</f>
        <v>18.333333333333332</v>
      </c>
      <c r="AD30" s="63">
        <f>((100+1000)/2)/((1+5)/2)</f>
        <v>183.33333333333334</v>
      </c>
      <c r="AE30" s="63">
        <f>((1000+10000)/2)/((1+5)/2)</f>
        <v>1833.3333333333333</v>
      </c>
      <c r="AF30" s="63">
        <f>(10000*AVERAGE(5,5.5,5.5,5.5))/((1+5)/2)</f>
        <v>17916.666666666668</v>
      </c>
    </row>
    <row r="31" spans="1:33" ht="75" x14ac:dyDescent="0.3">
      <c r="A31" s="155"/>
      <c r="B31" s="54" t="s">
        <v>143</v>
      </c>
      <c r="C31" s="55">
        <v>5</v>
      </c>
      <c r="D31" s="56" t="s">
        <v>144</v>
      </c>
      <c r="E31" s="57">
        <f>E30/10</f>
        <v>1E-3</v>
      </c>
      <c r="F31" s="56" t="s">
        <v>145</v>
      </c>
      <c r="G31" s="40" t="s">
        <v>146</v>
      </c>
      <c r="H31" s="40" t="s">
        <v>147</v>
      </c>
      <c r="I31" s="58">
        <v>3</v>
      </c>
      <c r="J31" s="66"/>
      <c r="K31" s="59"/>
      <c r="L31" s="59" t="s">
        <v>148</v>
      </c>
      <c r="M31" s="60"/>
      <c r="N31" s="60"/>
      <c r="P31" s="56">
        <f>0.1*$E$38*10^-4</f>
        <v>1E-4</v>
      </c>
      <c r="Q31" s="56">
        <f>0.1*$E$39*10^-4</f>
        <v>1E-3</v>
      </c>
      <c r="R31" s="56">
        <f>0.1*$E$40*10^-4</f>
        <v>0.01</v>
      </c>
      <c r="S31" s="56">
        <f>0.1*$E$41*10^-4</f>
        <v>0.1</v>
      </c>
      <c r="T31" s="63">
        <f>1*$E$41*10^-4</f>
        <v>1</v>
      </c>
      <c r="V31" s="64">
        <f>$E$38*10^-3</f>
        <v>0.01</v>
      </c>
      <c r="W31" s="64">
        <f>$E$39*10^-3</f>
        <v>0.1</v>
      </c>
      <c r="X31" s="63">
        <f>$E$40*10^-3</f>
        <v>1</v>
      </c>
      <c r="Y31" s="63">
        <f>$E$41*10^-3</f>
        <v>10</v>
      </c>
      <c r="Z31" s="63">
        <f>10*$E$41*10^-3</f>
        <v>100</v>
      </c>
      <c r="AB31" s="65">
        <f>((0+10)/2)/((5+25)/2)</f>
        <v>0.33333333333333331</v>
      </c>
      <c r="AC31" s="65">
        <f>((10+100)/2)/((5+25)/2)</f>
        <v>3.6666666666666665</v>
      </c>
      <c r="AD31" s="63">
        <f>((100+1000)/2)/((5+25)/2)</f>
        <v>36.666666666666664</v>
      </c>
      <c r="AE31" s="63">
        <f>((1000+10000)/2)/((5+25)/2)</f>
        <v>366.66666666666669</v>
      </c>
      <c r="AF31" s="63">
        <f>(10000*AVERAGE(5,5.5,5.5,5.5))/((5+25)/2)</f>
        <v>3583.3333333333335</v>
      </c>
    </row>
    <row r="32" spans="1:33" ht="75" x14ac:dyDescent="0.3">
      <c r="A32" s="155"/>
      <c r="B32" s="54" t="s">
        <v>149</v>
      </c>
      <c r="C32" s="55">
        <v>25</v>
      </c>
      <c r="D32" s="56" t="s">
        <v>150</v>
      </c>
      <c r="E32" s="57">
        <f>E31/10</f>
        <v>1E-4</v>
      </c>
      <c r="F32" s="56" t="s">
        <v>151</v>
      </c>
      <c r="G32" s="40" t="s">
        <v>152</v>
      </c>
      <c r="H32" s="40" t="s">
        <v>153</v>
      </c>
      <c r="I32" s="58">
        <v>2</v>
      </c>
      <c r="J32" s="66"/>
      <c r="K32" s="66" t="s">
        <v>154</v>
      </c>
      <c r="L32" s="59"/>
      <c r="M32" s="59"/>
      <c r="N32" s="60"/>
      <c r="P32" s="56">
        <f>0.1*$E$38*10^-5</f>
        <v>1.0000000000000001E-5</v>
      </c>
      <c r="Q32" s="56">
        <f>0.1*$E$39*10^-5</f>
        <v>1E-4</v>
      </c>
      <c r="R32" s="56">
        <f>0.1*$E$40*10^-5</f>
        <v>1E-3</v>
      </c>
      <c r="S32" s="56">
        <f>0.1*$E$41*10^-5</f>
        <v>0.01</v>
      </c>
      <c r="T32" s="56">
        <f>1*$E$41*10^-5</f>
        <v>0.1</v>
      </c>
      <c r="V32" s="64">
        <f>$E$38*10^-4</f>
        <v>1E-3</v>
      </c>
      <c r="W32" s="64">
        <f>$E$39*10^-4</f>
        <v>0.01</v>
      </c>
      <c r="X32" s="64">
        <f>$E$40*10^-4</f>
        <v>0.1</v>
      </c>
      <c r="Y32" s="63">
        <f>$E$41*10^-4</f>
        <v>1</v>
      </c>
      <c r="Z32" s="63">
        <f>10*$E$41*10^-4</f>
        <v>10</v>
      </c>
      <c r="AB32" s="67">
        <f>((0+10)/2)/((25+125)/2)</f>
        <v>6.6666666666666666E-2</v>
      </c>
      <c r="AC32" s="67">
        <f>((10+100)/2)/((25+125)/2)</f>
        <v>0.73333333333333328</v>
      </c>
      <c r="AD32" s="67">
        <f>((100+1000)/2)/((25+125)/2)</f>
        <v>7.333333333333333</v>
      </c>
      <c r="AE32" s="63">
        <f>((1000+10000)/2)/((25+125)/2)</f>
        <v>73.333333333333329</v>
      </c>
      <c r="AF32" s="63">
        <f>(10000*AVERAGE(5,5.5,5.5,5.5))/((25+125)/2)</f>
        <v>716.66666666666663</v>
      </c>
    </row>
    <row r="33" spans="1:32" ht="45" x14ac:dyDescent="0.3">
      <c r="A33" s="155"/>
      <c r="B33" s="54" t="s">
        <v>155</v>
      </c>
      <c r="C33" s="55">
        <v>125</v>
      </c>
      <c r="D33" s="56" t="s">
        <v>156</v>
      </c>
      <c r="E33" s="57">
        <f>E32/10</f>
        <v>1.0000000000000001E-5</v>
      </c>
      <c r="F33" s="56" t="s">
        <v>157</v>
      </c>
      <c r="G33" s="40" t="s">
        <v>158</v>
      </c>
      <c r="H33" s="40" t="s">
        <v>159</v>
      </c>
      <c r="I33" s="58">
        <v>1</v>
      </c>
      <c r="J33" s="68" t="s">
        <v>160</v>
      </c>
      <c r="K33" s="66"/>
      <c r="L33" s="66"/>
      <c r="M33" s="59"/>
      <c r="N33" s="59"/>
      <c r="P33" s="56">
        <f>0.1*$E$38*10^-6</f>
        <v>9.9999999999999995E-7</v>
      </c>
      <c r="Q33" s="56">
        <f>0.1*$E$39*10^-6</f>
        <v>9.9999999999999991E-6</v>
      </c>
      <c r="R33" s="56">
        <f>0.1*$E$40*10^-6</f>
        <v>9.9999999999999991E-5</v>
      </c>
      <c r="S33" s="56">
        <f>0.1*$E$41*10^-6</f>
        <v>1E-3</v>
      </c>
      <c r="T33" s="56">
        <f>1*$E$41*10^-6</f>
        <v>0.01</v>
      </c>
      <c r="V33" s="64">
        <f>$E$38*10^-5</f>
        <v>1E-4</v>
      </c>
      <c r="W33" s="64">
        <f>$E$39*10^-5</f>
        <v>1E-3</v>
      </c>
      <c r="X33" s="64">
        <f>$E$40*10^-5</f>
        <v>0.01</v>
      </c>
      <c r="Y33" s="64">
        <f>$E$41*10^-5</f>
        <v>0.1</v>
      </c>
      <c r="Z33" s="63">
        <f>10*$E$41*10^-5</f>
        <v>1</v>
      </c>
      <c r="AB33" s="67">
        <f>((0+10)/2)/(125*(AVERAGE(3/0.5,15/3,75/30)))</f>
        <v>8.8888888888888889E-3</v>
      </c>
      <c r="AC33" s="67">
        <f>((10+100)/2)/(125*(AVERAGE(3/0.5,15/3,75/30)))</f>
        <v>9.7777777777777783E-2</v>
      </c>
      <c r="AD33" s="67">
        <f>((100+1000)/2)/(125*(AVERAGE(3/0.5,15/3,75/30)))</f>
        <v>0.97777777777777775</v>
      </c>
      <c r="AE33" s="67">
        <f>((1000+10000)/2)/(125*(AVERAGE(3/0.5,15/3,75/30)))</f>
        <v>9.7777777777777786</v>
      </c>
      <c r="AF33" s="63">
        <f>(10000*AVERAGE(5,5.5,5.5,5.5))/(125*(AVERAGE(3/0.5,15/3,75/30)))</f>
        <v>95.555555555555557</v>
      </c>
    </row>
    <row r="34" spans="1:32" ht="18" x14ac:dyDescent="0.3">
      <c r="B34" s="47" t="s">
        <v>161</v>
      </c>
      <c r="I34" s="69"/>
      <c r="J34" s="70" t="s">
        <v>162</v>
      </c>
      <c r="K34" s="70" t="s">
        <v>163</v>
      </c>
      <c r="L34" s="70" t="s">
        <v>164</v>
      </c>
      <c r="M34" s="70" t="s">
        <v>165</v>
      </c>
      <c r="N34" s="70" t="s">
        <v>166</v>
      </c>
    </row>
    <row r="35" spans="1:32" x14ac:dyDescent="0.3">
      <c r="B35" s="3" t="s">
        <v>167</v>
      </c>
      <c r="I35" s="69"/>
      <c r="J35" s="69"/>
      <c r="K35" s="69"/>
      <c r="L35" s="69"/>
      <c r="M35" s="69"/>
      <c r="N35" s="69"/>
    </row>
    <row r="36" spans="1:32" x14ac:dyDescent="0.3">
      <c r="B36" s="3" t="s">
        <v>168</v>
      </c>
      <c r="I36" s="69"/>
      <c r="J36" s="69"/>
      <c r="K36" s="69"/>
      <c r="L36" s="69"/>
      <c r="M36" s="69"/>
      <c r="N36" s="69"/>
    </row>
    <row r="37" spans="1:32" ht="15.75" thickBot="1" x14ac:dyDescent="0.35">
      <c r="B37" s="71" t="s">
        <v>169</v>
      </c>
      <c r="C37" s="71" t="s">
        <v>170</v>
      </c>
      <c r="D37" s="71" t="s">
        <v>171</v>
      </c>
      <c r="E37" s="72" t="s">
        <v>172</v>
      </c>
      <c r="F37" s="72" t="s">
        <v>173</v>
      </c>
      <c r="G37" s="73" t="s">
        <v>174</v>
      </c>
      <c r="H37" s="73" t="s">
        <v>175</v>
      </c>
      <c r="I37" s="74"/>
      <c r="J37" s="69"/>
      <c r="K37" s="69"/>
      <c r="L37" s="69"/>
      <c r="M37" s="69"/>
      <c r="N37" s="69"/>
      <c r="Q37" s="156" t="s">
        <v>176</v>
      </c>
      <c r="R37" s="157"/>
      <c r="S37" s="157"/>
      <c r="T37" s="158"/>
    </row>
    <row r="38" spans="1:32" ht="48" customHeight="1" thickBot="1" x14ac:dyDescent="0.35">
      <c r="A38" s="155" t="s">
        <v>177</v>
      </c>
      <c r="B38" s="75" t="s">
        <v>178</v>
      </c>
      <c r="C38" s="76" t="s">
        <v>179</v>
      </c>
      <c r="D38" s="76" t="s">
        <v>180</v>
      </c>
      <c r="E38" s="77">
        <v>10</v>
      </c>
      <c r="F38" s="75" t="s">
        <v>181</v>
      </c>
      <c r="G38" s="75" t="s">
        <v>181</v>
      </c>
      <c r="H38" s="75" t="s">
        <v>181</v>
      </c>
      <c r="I38" s="78" t="s">
        <v>162</v>
      </c>
      <c r="J38" s="79">
        <v>1</v>
      </c>
      <c r="K38" s="69"/>
      <c r="L38" s="69"/>
      <c r="M38" s="69"/>
      <c r="N38" s="69"/>
      <c r="Q38" s="159" t="s">
        <v>182</v>
      </c>
      <c r="R38" s="160"/>
      <c r="S38" s="160"/>
      <c r="T38" s="160"/>
    </row>
    <row r="39" spans="1:32" ht="48" customHeight="1" thickBot="1" x14ac:dyDescent="0.35">
      <c r="A39" s="155"/>
      <c r="B39" s="80" t="s">
        <v>183</v>
      </c>
      <c r="C39" s="81" t="s">
        <v>184</v>
      </c>
      <c r="D39" s="81" t="s">
        <v>185</v>
      </c>
      <c r="E39" s="82">
        <v>100</v>
      </c>
      <c r="F39" s="80" t="s">
        <v>186</v>
      </c>
      <c r="G39" s="80" t="s">
        <v>187</v>
      </c>
      <c r="H39" s="80" t="s">
        <v>188</v>
      </c>
      <c r="I39" s="78" t="s">
        <v>163</v>
      </c>
      <c r="J39" s="83">
        <v>0.7</v>
      </c>
      <c r="K39" s="74"/>
      <c r="L39" s="69"/>
      <c r="M39" s="69"/>
      <c r="N39" s="69"/>
      <c r="Q39" s="161" t="s">
        <v>189</v>
      </c>
      <c r="R39" s="160"/>
      <c r="S39" s="160"/>
      <c r="T39" s="160"/>
    </row>
    <row r="40" spans="1:32" ht="48" customHeight="1" thickBot="1" x14ac:dyDescent="0.35">
      <c r="A40" s="155"/>
      <c r="B40" s="80" t="s">
        <v>190</v>
      </c>
      <c r="C40" s="81" t="s">
        <v>191</v>
      </c>
      <c r="D40" s="81" t="s">
        <v>192</v>
      </c>
      <c r="E40" s="82">
        <v>1000</v>
      </c>
      <c r="F40" s="80" t="s">
        <v>193</v>
      </c>
      <c r="G40" s="84" t="s">
        <v>194</v>
      </c>
      <c r="H40" s="84" t="s">
        <v>187</v>
      </c>
      <c r="I40" s="78" t="s">
        <v>164</v>
      </c>
      <c r="J40" s="83">
        <v>0.5</v>
      </c>
      <c r="K40" s="85"/>
      <c r="L40" s="74"/>
      <c r="M40" s="69"/>
      <c r="N40" s="69"/>
      <c r="Q40" s="162" t="s">
        <v>195</v>
      </c>
      <c r="R40" s="160"/>
      <c r="S40" s="160"/>
      <c r="T40" s="160"/>
    </row>
    <row r="41" spans="1:32" ht="48" customHeight="1" thickBot="1" x14ac:dyDescent="0.35">
      <c r="A41" s="155"/>
      <c r="B41" s="80" t="s">
        <v>196</v>
      </c>
      <c r="C41" s="81" t="s">
        <v>197</v>
      </c>
      <c r="D41" s="81" t="s">
        <v>198</v>
      </c>
      <c r="E41" s="82">
        <v>10000</v>
      </c>
      <c r="F41" s="80" t="s">
        <v>199</v>
      </c>
      <c r="G41" s="84" t="s">
        <v>200</v>
      </c>
      <c r="H41" s="84" t="s">
        <v>201</v>
      </c>
      <c r="I41" s="78" t="s">
        <v>165</v>
      </c>
      <c r="J41" s="83">
        <v>0.3</v>
      </c>
      <c r="K41" s="85"/>
      <c r="L41" s="85"/>
      <c r="M41" s="74"/>
      <c r="N41" s="69"/>
      <c r="Q41" s="163" t="s">
        <v>202</v>
      </c>
      <c r="R41" s="164"/>
      <c r="S41" s="164"/>
      <c r="T41" s="164"/>
    </row>
    <row r="42" spans="1:32" ht="48" customHeight="1" thickBot="1" x14ac:dyDescent="0.35">
      <c r="A42" s="155"/>
      <c r="B42" s="80" t="s">
        <v>203</v>
      </c>
      <c r="C42" s="81" t="s">
        <v>204</v>
      </c>
      <c r="D42" s="81" t="s">
        <v>205</v>
      </c>
      <c r="E42" s="86">
        <v>10000</v>
      </c>
      <c r="F42" s="80" t="s">
        <v>206</v>
      </c>
      <c r="G42" s="84" t="s">
        <v>207</v>
      </c>
      <c r="H42" s="84" t="s">
        <v>208</v>
      </c>
      <c r="I42" s="78" t="s">
        <v>166</v>
      </c>
      <c r="J42" s="87">
        <v>0.1</v>
      </c>
      <c r="K42" s="85"/>
      <c r="L42" s="85"/>
      <c r="M42" s="85"/>
      <c r="N42" s="74"/>
      <c r="Q42" s="165" t="s">
        <v>209</v>
      </c>
      <c r="R42" s="164"/>
      <c r="S42" s="164"/>
      <c r="T42" s="164"/>
    </row>
    <row r="43" spans="1:32" x14ac:dyDescent="0.3">
      <c r="J43" s="88"/>
    </row>
    <row r="44" spans="1:32" x14ac:dyDescent="0.3">
      <c r="B44" s="89" t="s">
        <v>210</v>
      </c>
      <c r="J44" s="90" t="s">
        <v>211</v>
      </c>
      <c r="K44" s="91"/>
      <c r="L44" s="91"/>
      <c r="M44" s="91"/>
      <c r="N44" s="91"/>
      <c r="O44" s="91"/>
      <c r="P44" s="91"/>
    </row>
    <row r="45" spans="1:32" x14ac:dyDescent="0.3">
      <c r="B45" s="5" t="s">
        <v>212</v>
      </c>
      <c r="C45" s="2"/>
      <c r="D45" s="2"/>
      <c r="E45" s="2"/>
      <c r="F45" s="2"/>
      <c r="G45" s="2"/>
      <c r="H45" s="2"/>
      <c r="I45" s="2"/>
      <c r="J45" s="2"/>
      <c r="K45" s="2"/>
      <c r="L45" s="2"/>
      <c r="M45" s="2"/>
      <c r="N45" s="2"/>
    </row>
    <row r="46" spans="1:32" x14ac:dyDescent="0.3">
      <c r="B46" s="5" t="s">
        <v>213</v>
      </c>
    </row>
    <row r="47" spans="1:32" x14ac:dyDescent="0.3">
      <c r="B47" s="2" t="s">
        <v>214</v>
      </c>
    </row>
    <row r="48" spans="1:32" ht="17.25" x14ac:dyDescent="0.3">
      <c r="B48" s="2" t="s">
        <v>215</v>
      </c>
    </row>
    <row r="49" spans="1:9" x14ac:dyDescent="0.3">
      <c r="B49" s="2" t="s">
        <v>216</v>
      </c>
    </row>
    <row r="50" spans="1:9" ht="17.25" x14ac:dyDescent="0.3">
      <c r="B50" s="2" t="s">
        <v>217</v>
      </c>
    </row>
    <row r="51" spans="1:9" x14ac:dyDescent="0.3">
      <c r="B51" s="2" t="s">
        <v>218</v>
      </c>
    </row>
    <row r="52" spans="1:9" ht="15.75" thickBot="1" x14ac:dyDescent="0.35">
      <c r="A52" s="92" t="s">
        <v>219</v>
      </c>
      <c r="B52" s="93"/>
      <c r="C52" s="93"/>
      <c r="D52" s="93"/>
      <c r="E52" s="93"/>
      <c r="F52" s="93"/>
      <c r="G52" s="93"/>
      <c r="H52" s="93"/>
      <c r="I52" s="94"/>
    </row>
    <row r="53" spans="1:9" ht="108" customHeight="1" x14ac:dyDescent="0.3">
      <c r="A53" s="154" t="s">
        <v>248</v>
      </c>
      <c r="B53" s="154"/>
      <c r="C53" s="154"/>
      <c r="D53" s="154"/>
      <c r="E53" s="154"/>
      <c r="F53" s="154"/>
      <c r="G53" s="154"/>
      <c r="H53" s="154"/>
      <c r="I53" s="154"/>
    </row>
    <row r="54" spans="1:9" hidden="1" x14ac:dyDescent="0.3"/>
  </sheetData>
  <dataConsolidate/>
  <mergeCells count="13">
    <mergeCell ref="Q37:T37"/>
    <mergeCell ref="A38:A42"/>
    <mergeCell ref="Q38:T38"/>
    <mergeCell ref="Q39:T39"/>
    <mergeCell ref="Q40:T40"/>
    <mergeCell ref="Q41:T41"/>
    <mergeCell ref="Q42:T42"/>
    <mergeCell ref="H10:N10"/>
    <mergeCell ref="H13:N13"/>
    <mergeCell ref="H14:N14"/>
    <mergeCell ref="H12:N12"/>
    <mergeCell ref="A53:I53"/>
    <mergeCell ref="A29:A33"/>
  </mergeCells>
  <conditionalFormatting sqref="P29:T33">
    <cfRule type="cellIs" dxfId="14" priority="11" operator="greaterThanOrEqual">
      <formula>$T$28</formula>
    </cfRule>
    <cfRule type="cellIs" dxfId="13" priority="12" operator="greaterThanOrEqual">
      <formula>$S$28</formula>
    </cfRule>
    <cfRule type="cellIs" dxfId="12" priority="13" operator="greaterThanOrEqual">
      <formula>$R$28</formula>
    </cfRule>
    <cfRule type="cellIs" dxfId="11" priority="14" operator="greaterThanOrEqual">
      <formula>$Q$28</formula>
    </cfRule>
    <cfRule type="cellIs" dxfId="10" priority="15" operator="lessThan">
      <formula>$Q$28</formula>
    </cfRule>
  </conditionalFormatting>
  <conditionalFormatting sqref="V29:Z33">
    <cfRule type="cellIs" dxfId="9" priority="6" operator="greaterThanOrEqual">
      <formula>$Z$28</formula>
    </cfRule>
    <cfRule type="cellIs" dxfId="8" priority="7" operator="greaterThanOrEqual">
      <formula>$Y$28</formula>
    </cfRule>
    <cfRule type="cellIs" dxfId="7" priority="8" operator="greaterThanOrEqual">
      <formula>$X$28</formula>
    </cfRule>
    <cfRule type="cellIs" dxfId="6" priority="9" operator="greaterThanOrEqual">
      <formula>$W$28</formula>
    </cfRule>
    <cfRule type="cellIs" dxfId="5" priority="10" operator="lessThan">
      <formula>$W$28</formula>
    </cfRule>
  </conditionalFormatting>
  <conditionalFormatting sqref="AB29:AF33">
    <cfRule type="cellIs" dxfId="4" priority="1" operator="greaterThanOrEqual">
      <formula>$AF$28</formula>
    </cfRule>
    <cfRule type="cellIs" dxfId="3" priority="2" operator="greaterThanOrEqual">
      <formula>$AE$28</formula>
    </cfRule>
    <cfRule type="cellIs" dxfId="2" priority="3" operator="greaterThanOrEqual">
      <formula>$AD$28</formula>
    </cfRule>
    <cfRule type="cellIs" dxfId="1" priority="4" operator="greaterThanOrEqual">
      <formula>$AC$28</formula>
    </cfRule>
    <cfRule type="cellIs" dxfId="0" priority="5" operator="lessThan">
      <formula>$AC$28</formula>
    </cfRule>
  </conditionalFormatting>
  <dataValidations xWindow="41" yWindow="391" count="42">
    <dataValidation allowBlank="1" showInputMessage="1" showErrorMessage="1" promptTitle="Faalkans klasse:" prompt="De klasse waarin de faalkans valt, gezien de toegepaste beoordelingscriteria._x000a__x000a_in geval sprake is van falen (er wordt niet meer voldaan aan eisen) kan categorie 6 worden toegepast. Dit werkt door als categorie 5." sqref="I29"/>
    <dataValidation allowBlank="1" showInputMessage="1" showErrorMessage="1" promptTitle="Faalkans klasse:" prompt="De klasse waarin de faalkans valt, gezien de toegepaste beoordelingscriteria._x000a__x000a_Voor het geval niet meer aan eisen wordt voldaan en daarmee sprake is van een faalsituatie, is categorie 6 toegevoegd." sqref="I28"/>
    <dataValidation type="custom" showInputMessage="1" showErrorMessage="1" errorTitle="Nota bene:" error="De cel is beschermd tegen wijzigingen, om onbedoelde veranderingen uit te kunnen sluiten." promptTitle="Aktie met betrekking tot risico:" prompt="De benodigde aktie die noodzakelijk is om het aanwezige risico tot een acceptabel niveau terug te dringen." sqref="Q37:T42">
      <formula1>0</formula1>
    </dataValidation>
    <dataValidation allowBlank="1" showInputMessage="1" showErrorMessage="1" promptTitle="De gevolg klasse:" prompt="De gevolgklasse die van toepassing is, gezien de toegepaste beoordelingscriteria voor de gevolgen van falen._x000a__x000a_Consequence factor: &quot;High&quot; " sqref="M34"/>
    <dataValidation allowBlank="1" showInputMessage="1" showErrorMessage="1" promptTitle="De gevolg klasse:" prompt="De gevolgklasse die van toepassing is, gezien de toegepaste beoordelingscriteria voor de gevolgen van falen._x000a__x000a_Consequence factor: &quot;Medium&quot;" sqref="L34"/>
    <dataValidation allowBlank="1" showInputMessage="1" showErrorMessage="1" promptTitle="De gevolg klasse:" prompt="De gevolgklasse die van toepassing is, gezien de toegepaste beoordelingscriteria voor de gevolgen van falen._x000a__x000a_Consequence factor: &quot;Low&quot;." sqref="K34"/>
    <dataValidation allowBlank="1" showInputMessage="1" showErrorMessage="1" promptTitle="De gevolg klasse:" prompt="De gevolgklasse die van toepassing is, gezien de toegepaste beoordelingscriteria voor de gevolgen van falen._x000a__x000a_Consequence factor: &quot;Very low&quot;." sqref="J34"/>
    <dataValidation allowBlank="1" showInputMessage="1" showErrorMessage="1" promptTitle="De gevolg klasse:" prompt="De gevolgklasse die van toepassing is, gezien de toegepaste beoordelingscriteria voor de gevolgen van falen._x000a__x000a_Consequence factor: &quot;Very high&quot;" sqref="N34"/>
    <dataValidation allowBlank="1" showInputMessage="1" showErrorMessage="1" promptTitle="Faalkans klasse:" prompt="De klasse waarin de faalkans valt, gezien de toegepaste beoordelingscriteria." sqref="I30:I33"/>
    <dataValidation allowBlank="1" showInputMessage="1" showErrorMessage="1" promptTitle="Consequence factor:" prompt="Very high, according to categories in table A5." sqref="I42"/>
    <dataValidation allowBlank="1" showInputMessage="1" showErrorMessage="1" promptTitle="Consequence factor:" prompt="High, according to categories in table A5." sqref="I41"/>
    <dataValidation allowBlank="1" showInputMessage="1" showErrorMessage="1" promptTitle="Consequence factor:" prompt="Medium, according to categories in table A5." sqref="I40"/>
    <dataValidation allowBlank="1" showInputMessage="1" showErrorMessage="1" promptTitle="Consequence factor:" prompt="Low, according to categories in table A5." sqref="I39"/>
    <dataValidation allowBlank="1" showInputMessage="1" showErrorMessage="1" promptTitle="Consequence factor:" prompt="Very low, according to categories in table A5." sqref="I38"/>
    <dataValidation allowBlank="1" showInputMessage="1" showErrorMessage="1" promptTitle="Consequence based correction:" prompt="The correction factor for the inspection interval related to the consequences, as per legislative perspective._x000a_These factors are based on the PRdA 2.3, &quot;Reference instrument&quot;, Appendix 5B, with an add-on for &quot;very high&quot;/&quot;extreme&quot; failure consequences." sqref="J38:J42"/>
    <dataValidation allowBlank="1" showInputMessage="1" showErrorMessage="1" promptTitle="Description:" prompt="De beschrijving van de wijze waarop vastgesteld kan worden of de waarschijnlijkheid van falen aanwezig is." sqref="G28"/>
    <dataValidation allowBlank="1" showInputMessage="1" showErrorMessage="1" promptTitle="Qualitative" prompt="De kwalitatieve omschrijving van de kans op het optreden van de bepaalde, ongewenste, gebeurtenis die bepalend is voor het aanwezige risico." sqref="F28"/>
    <dataValidation allowBlank="1" showInputMessage="1" showErrorMessage="1" promptTitle="U_Limit (in jaren)" prompt="De onderste limiet in de grenzen, zoals genoemd bij de MOTBF._x000a_Dit kan in de operationele situatie beschouwd worden als de minimale restlevensduur op dát moment." sqref="C28"/>
    <dataValidation allowBlank="1" showInputMessage="1" showErrorMessage="1" promptTitle="MeanOperatingTimeBetweenFailure" prompt="MOTBF; Mean Operating Time Between Failure._x000a_Oftewel de gemiddelde tijd tussen het zich bij herhaling voor doen van een faalscenario._x000a_Door bijtijds te vervangen is de faalkans van toepassing." sqref="B28"/>
    <dataValidation allowBlank="1" showInputMessage="1" showErrorMessage="1" promptTitle="Faalkans" prompt="Dit betreft de faalkans van een installatiedeel gedurende de hiervoor aangegeven tijd tot falen._x000a_Dit verondersteld dat het installatiedeel bijtijds wordt vervangen._x000a_Bij gebruik tot/met de levensduur is de tijdsgemiddelde faalkans 1/levensduur." sqref="D28"/>
    <dataValidation allowBlank="1" showInputMessage="1" showErrorMessage="1" promptTitle="Probability of Failure" prompt="De hoogste waarde (dus de grootste kans) voor de POF wordt aangehouden met de hoogste financiële waarde in een bereik._x000a_Deze tabel bevat dus de bovengrens voor de waarde van het risico." sqref="X27"/>
    <dataValidation allowBlank="1" showInputMessage="1" showErrorMessage="1" promptTitle="Probability of Failure" prompt="De laagste waarde (dus de kleinste kans) voor de POF wordt aangehouden met de laagste financiële waarde in een bereik._x000a_Deze tabel bevat dus de onderwaarde voor het risico." sqref="R27"/>
    <dataValidation allowBlank="1" showInputMessage="1" showErrorMessage="1" promptTitle="Business effects (k€)" prompt="Upper limit on business effects." sqref="E37"/>
    <dataValidation allowBlank="1" showInputMessage="1" showErrorMessage="1" promptTitle="Upper limit of PoF" prompt="Probability of failure; upper limit." sqref="E28"/>
    <dataValidation type="list" allowBlank="1" showInputMessage="1" showErrorMessage="1" promptTitle="Optie:" prompt="Selecteer de optie die van toepassing is op grond van de hieronder weergegeven lijst met de gevolgen van falen." sqref="C17:C23">
      <formula1>$I$38:$I$42</formula1>
    </dataValidation>
    <dataValidation type="list" allowBlank="1" showInputMessage="1" showErrorMessage="1" sqref="C16">
      <formula1>"Ja,Onzeker,Nee"</formula1>
    </dataValidation>
    <dataValidation type="custom" showInputMessage="1" showErrorMessage="1" errorTitle="Afgeschermd!" error="De cel is afgeschermd tegen onbedoelde wijziging!" promptTitle="COI Profiel:" prompt="Dit betreft de gemiddelde kosten, zoals die bij een faalsituatie in geval van een COI incident voor de installatie, zijn te verwachten._x000a_Dit is bedrijfsspecifiek." sqref="D17">
      <formula1>0</formula1>
    </dataValidation>
    <dataValidation type="list" showInputMessage="1" showErrorMessage="1" promptTitle="Optie (zie referentie tabel):" prompt="Selecteer de optie die van toepassing is op grond van het overzicht qua effectiviteit van beheersmaatregelen._x000a_De gehanteerde effectiviteitsklassen zijn conform API 581." sqref="C25">
      <formula1>$I$38:$I$42</formula1>
    </dataValidation>
    <dataValidation allowBlank="1" showInputMessage="1" showErrorMessage="1" promptTitle="Optie:" prompt="Selecteer de optie die van toepassing is op grond van het overzicht qua effectiviteit van beheersmaatregelen." sqref="B25"/>
    <dataValidation type="custom" showInputMessage="1" showErrorMessage="1" errorTitle="Nota bene!" error="De inhoud van deze cel is beschermd tegen wijziging om onbedoelde effecten te vermijden!" sqref="L18:N22">
      <formula1>0</formula1>
    </dataValidation>
    <dataValidation allowBlank="1" showInputMessage="1" showErrorMessage="1" promptTitle="Dekking:" prompt="Het percentage van de &quot;hot spots&quot;/ risicoplaatsen, wat door middel van NDO is onderzocht." sqref="N17"/>
    <dataValidation allowBlank="1" showInputMessage="1" showErrorMessage="1" promptTitle="Reductie factor:" prompt="De mate van reductie van het risico, wanneer de toegepaste techniek met de aangegeven effectiviteitsklasse is gehanteerd, uitgaande van een dekking van hotspots die overeenkomt met het percentage uit de volgende kolom." sqref="M17"/>
    <dataValidation allowBlank="1" showInputMessage="1" showErrorMessage="1" promptTitle="Effectiviteits klasse" prompt="De effectiviteitsklasse, analoog aan de opzet vanuit de API 581." sqref="L17"/>
    <dataValidation allowBlank="1" showInputMessage="1" showErrorMessage="1" promptTitle="Resultaat:" prompt="Het verschil tussen het risico en het beheerste risico bij toepassen van Risk Based COI management met de effectiviteit zoals die verwacht wordt in de gegeven situatie." sqref="G23"/>
    <dataValidation allowBlank="1" showInputMessage="1" showErrorMessage="1" promptTitle="Rendement:" prompt="Het verschil tussen de kosten om het risico te beheersen en het de verdienste zoals te behalen bij toepassen van Risk Based COI management met de effectviteit van de werkwijze." sqref="H23"/>
    <dataValidation type="custom" showInputMessage="1" showErrorMessage="1" errorTitle="Cel is afgeschermd." error="De cel is afgeschermd tegen onbedoelde wijziging!" sqref="D16">
      <formula1>0</formula1>
    </dataValidation>
    <dataValidation type="custom" showInputMessage="1" showErrorMessage="1" errorTitle="Afgeschermd!" error="De cel is afgeschermd tegen onbedoelde wijziging!" sqref="E18:F19 G20:H22 H24:H25 G24 D25:F25">
      <formula1>0</formula1>
    </dataValidation>
    <dataValidation type="custom" showInputMessage="1" showErrorMessage="1" errorTitle="Afgeschermd!" error="De cel is afgeschermd tegen onbedoelde wijziging!" promptTitle="Resterend risico:" prompt="Het risico wat overblijft nadat beheersmaatregelen met de aangegeven effectiviteit worden toegepast." sqref="G25">
      <formula1>0</formula1>
    </dataValidation>
    <dataValidation allowBlank="1" showInputMessage="1" showErrorMessage="1" promptTitle="Kosten per jaar:" prompt="Plaats hier de redelijkerwijze te verwachten kosten voor de implementatie van het CUI programma._x000a_Dit is installatie afhankelijk en daardoor géén algemeen getal wat in het algemeen van toepassing is." sqref="H16"/>
    <dataValidation allowBlank="1" showInputMessage="1" showErrorMessage="1" promptTitle="Gidsvragen:" prompt="Dit zijn vragen die het helpen om een zo realistisch mogelijk beeld te krijgen van de actuele situatie._x000a_Een correct beeld geeft uiteindelijk een correct beeld van de business case voor COI management." sqref="B9"/>
    <dataValidation allowBlank="1" showInputMessage="1" showErrorMessage="1" promptTitle="Antwoorden op de gidsvragen:" prompt="Dit zijn de antwoorden die helpen om een zo realistisch mogelijk beeld te schetsen van de actuele situatie._x000a_Een correct beeld geeft uiteindelijk een correct beeld van de business case voor COI management." sqref="H9"/>
    <dataValidation allowBlank="1" showInputMessage="1" showErrorMessage="1" promptTitle="Manier van kijken:" prompt="Staat de installatie er goed bij?_x000a_Dus isolatie afgedicht, géén openingen (soms vanaf de aanleg) en beschadigingen waardoor vocht de installatie in kan lekken." sqref="B14"/>
  </dataValidations>
  <pageMargins left="0.70866141732283472" right="0.70866141732283472" top="1.3385826771653544" bottom="0.74803149606299213" header="0.31496062992125984" footer="0.31496062992125984"/>
  <pageSetup paperSize="9" scale="50" orientation="portrait" r:id="rId1"/>
  <headerFooter>
    <oddHeader>&amp;L&amp;G&amp;RWorld Class Maintenance project: Risk Based CUI Management.</oddHeader>
    <oddFooter>&amp;L&amp;9File / Tab: &amp;F / &amp;A&amp;C&amp;9Printdatum: &amp;D&amp;R&amp;9Bladzijde &amp;P van &amp;N.</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2039ADD5E94A4BB0B15B5FB7ADAC87" ma:contentTypeVersion="6" ma:contentTypeDescription="Create a new document." ma:contentTypeScope="" ma:versionID="01b5e44866dc18d9b3fd6fcd47944d7a">
  <xsd:schema xmlns:xsd="http://www.w3.org/2001/XMLSchema" xmlns:xs="http://www.w3.org/2001/XMLSchema" xmlns:p="http://schemas.microsoft.com/office/2006/metadata/properties" xmlns:ns2="38e5a78e-e4a4-43bc-8811-d13ed7ad4f63" targetNamespace="http://schemas.microsoft.com/office/2006/metadata/properties" ma:root="true" ma:fieldsID="37d27698a04567d5c54218fea1b8dd69" ns2:_="">
    <xsd:import namespace="38e5a78e-e4a4-43bc-8811-d13ed7ad4f6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e5a78e-e4a4-43bc-8811-d13ed7ad4f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D7284A-0890-4EFE-B387-3B22C76D8C8E}"/>
</file>

<file path=customXml/itemProps2.xml><?xml version="1.0" encoding="utf-8"?>
<ds:datastoreItem xmlns:ds="http://schemas.openxmlformats.org/officeDocument/2006/customXml" ds:itemID="{615DA4AE-AE64-45C1-8D6D-5424C6D16247}"/>
</file>

<file path=customXml/itemProps3.xml><?xml version="1.0" encoding="utf-8"?>
<ds:datastoreItem xmlns:ds="http://schemas.openxmlformats.org/officeDocument/2006/customXml" ds:itemID="{57138D8D-155E-43DA-ACBE-93DD5930ABA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Toelichting</vt:lpstr>
      <vt:lpstr>Gap-analyse</vt:lpstr>
      <vt:lpstr>Resultaat</vt:lpstr>
      <vt:lpstr>Kosten_Baten NEN-EN 16991</vt:lpstr>
      <vt:lpstr>LimitsMOTBF</vt:lpstr>
      <vt:lpstr>'Kosten_Baten NEN-EN 16991'!NDTEff</vt:lpstr>
      <vt:lpstr>'Gap-analyse'!Print_Area</vt:lpstr>
      <vt:lpstr>'Kosten_Baten NEN-EN 16991'!Print_Area</vt:lpstr>
      <vt:lpstr>Resultaat!Print_Area</vt:lpstr>
      <vt:lpstr>Toelichting!Print_Area</vt:lpstr>
      <vt:lpstr>'Kosten_Baten NEN-EN 16991'!Risk_MOTBF</vt:lpstr>
    </vt:vector>
  </TitlesOfParts>
  <Company>Stork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Gapanalyse tov CUI RB Best practise</dc:title>
  <dc:creator>Geert Henk Wijnants</dc:creator>
  <cp:keywords>Toetsingskader Risk Based CUI management</cp:keywords>
  <cp:lastModifiedBy>Geert Henk Wijnants</cp:lastModifiedBy>
  <cp:lastPrinted>2021-06-25T15:52:12Z</cp:lastPrinted>
  <dcterms:created xsi:type="dcterms:W3CDTF">2020-06-24T13:52:08Z</dcterms:created>
  <dcterms:modified xsi:type="dcterms:W3CDTF">2021-06-25T15:52:19Z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0x0101001F2039ADD5E94A4BB0B15B5FB7ADAC87</vt:lpwstr>
  </property>
</Properties>
</file>