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harts/style2.xml" ContentType="application/vnd.ms-office.chartstyle+xml"/>
  <Override PartName="/xl/charts/chart2.xml" ContentType="application/vnd.openxmlformats-officedocument.drawingml.chart+xml"/>
  <Override PartName="/xl/charts/colors2.xml" ContentType="application/vnd.ms-office.chartcolorstyle+xml"/>
  <Override PartName="/xl/charts/style1.xml" ContentType="application/vnd.ms-office.chartstyle+xml"/>
  <Override PartName="/xl/charts/colors1.xml" ContentType="application/vnd.ms-office.chartcolor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ORK_PC\Geerthenk.wijnants\Stork\Projecten\WCM_2022-2023\Best Practise CUI Management (EN)\"/>
    </mc:Choice>
  </mc:AlternateContent>
  <bookViews>
    <workbookView xWindow="0" yWindow="0" windowWidth="19200" windowHeight="10860"/>
  </bookViews>
  <sheets>
    <sheet name="Explanation" sheetId="2" r:id="rId1"/>
    <sheet name="Gap-analysis" sheetId="1" r:id="rId2"/>
    <sheet name="Result" sheetId="3" r:id="rId3"/>
    <sheet name="Costs_Benefit NEN-EN 16991" sheetId="4" r:id="rId4"/>
  </sheets>
  <externalReferences>
    <externalReference r:id="rId5"/>
    <externalReference r:id="rId6"/>
  </externalReferences>
  <definedNames>
    <definedName name="CoatGen">'[1]Coating bescherming'!$D$12:$E$12</definedName>
    <definedName name="CoatGenScore">'[1]Coating bescherming'!$H$12:$I$12</definedName>
    <definedName name="CoatIsol">'[1]Coating bescherming'!$D$15:$G$15</definedName>
    <definedName name="CoatIsolScor">'[1]Coating bescherming'!$H$15:$K$15</definedName>
    <definedName name="CoatLifetime" comment="De verwachte levensduur van de coating, op basis van de diverse invloedsfactoren. Zie uitwerking op tab [Coating bescherming]">[1]Installatie!$C$25</definedName>
    <definedName name="CoatOntw">'[1]Coating bescherming'!$D$13:$F$13</definedName>
    <definedName name="CoatOntwScor">'[1]Coating bescherming'!$H$13:$J$13</definedName>
    <definedName name="CoatProc">'[1]Coating bescherming'!$D$14:$G$14</definedName>
    <definedName name="CoatProcScor">'[1]Coating bescherming'!$H$14:$K$14</definedName>
    <definedName name="CoatProd">'[1]Coating bescherming'!$D$11:$F$11</definedName>
    <definedName name="CoatProdScor">'[1]Coating bescherming'!$H$11:$J$11</definedName>
    <definedName name="CoatRefLT">'[1]Coating bescherming'!$B$18</definedName>
    <definedName name="CorrMarge" comment="De corrosie marge die (geacht wordt) representatief (te zijn) is voor de betreffende installatie.">[1]Installatie!$C$8</definedName>
    <definedName name="CorrRVS">[2]Instellingen!$S$34:$T$34</definedName>
    <definedName name="CorrSnelh" comment="De corrosie snelheid zoals van toepassing met de beschikbare gegevens.">[1]CorrosieModel!$E$44</definedName>
    <definedName name="CorrTempBounds" localSheetId="3">[1]CorrosieModel!$D$47:$J$47</definedName>
    <definedName name="CorrTempBounds">[2]Instellingen!$T$23:$Z$23</definedName>
    <definedName name="DroogNatWissel" localSheetId="3">[1]CorrosieModel!$C$48:$C$50</definedName>
    <definedName name="DroogNatWissel">[2]Instellingen!$S$24:$S$26</definedName>
    <definedName name="ExpCorrDam">[2]Instellingen!$V$12:$V$16</definedName>
    <definedName name="FaalGevolgCat" comment="De categorie voor de gevolgen van falen, zoals van toepassing in de specifieke casus.">[1]Installatie!$D$41</definedName>
    <definedName name="FaalkansKlassen">'[1]NDT Effectiviteit'!$H$44:$M$44</definedName>
    <definedName name="IsolatieMateriaal" localSheetId="3">[1]CorrosieModel!$B$72:$B$78</definedName>
    <definedName name="IsolatieMateriaal">[2]Instellingen!$T$3:$T$9</definedName>
    <definedName name="KleurJN" localSheetId="3">[1]CorrosieModel!$A$47</definedName>
    <definedName name="KleurJN">[2]Installatie!$G$1</definedName>
    <definedName name="Leeftijd">[1]Faalkans!$C$4</definedName>
    <definedName name="LimitsMOTBF">'Costs_Benefit NEN-EN 16991'!$AB$28:$AF$28</definedName>
    <definedName name="Materialen">[1]Faalkans!$B$17:$B$21</definedName>
    <definedName name="NatDroogRiskMatrix" localSheetId="3">[1]CorrosieModel!$D$48:$J$50</definedName>
    <definedName name="NatDroogRiskMatrix">[2]Instellingen!$T$24:$Z$26</definedName>
    <definedName name="NDT_Techn" localSheetId="3">'[1]NDT Effectiviteit'!$P$2:$P$12</definedName>
    <definedName name="NDT_Techn" comment="Lijst van momenteel toegepaste NDO technieken.">[2]Instellingen!$O$3:$O$13</definedName>
    <definedName name="NDTEff" localSheetId="3">'Costs_Benefit NEN-EN 16991'!$L$18:$N$22</definedName>
    <definedName name="NDTEff">[2]Instellingen!$P$16:$R$20</definedName>
    <definedName name="NDTEffRatings" comment="De effectiviteit van de betreffend NDT techniek, zoals toegekend middels de effectiviteits classificatie." localSheetId="3">'[1]NDT Effectiviteit'!$C$14:$M$19</definedName>
    <definedName name="NDTEffRatings">[2]Instellingen!$C$15:$M$20</definedName>
    <definedName name="_xlnm.Print_Area" localSheetId="3">'Costs_Benefit NEN-EN 16991'!$A$1:$N$26</definedName>
    <definedName name="_xlnm.Print_Area" localSheetId="0">Explanation!$C$4:$F$37</definedName>
    <definedName name="_xlnm.Print_Area" localSheetId="1">'Gap-analysis'!$A$1:$J$43</definedName>
    <definedName name="ProcessTemp">[1]Installatie!$C$13</definedName>
    <definedName name="ResFaalkans">'[1]NDT Effectiviteit'!$H$45:$M$49</definedName>
    <definedName name="Risk_MOTBF" localSheetId="3">'Costs_Benefit NEN-EN 16991'!$AB$29:$AF$33</definedName>
    <definedName name="Risk_MOTBF">'[2]NEN-EN 16991'!$AB$3:$AF$7</definedName>
    <definedName name="SkinTemp">[1]Faalkans!$C$3</definedName>
    <definedName name="TblIsolStimuFact">[2]Instellingen!$T$3:$U$9</definedName>
    <definedName name="TempRVS">[2]Instellingen!$S$33:$T$33</definedName>
    <definedName name="TSA_LTE" localSheetId="3">'[1]Coating bescherming'!$B$19</definedName>
    <definedName name="TSA_LTE">[2]Instellingen!$Z$36</definedName>
    <definedName name="Typicals" localSheetId="3">'[1]NDT Effectiviteit'!$B$14:$B$19</definedName>
    <definedName name="Typicals">[2]Instellingen!$B$15:$B$20</definedName>
    <definedName name="ZoutRisico" localSheetId="3">[1]CorrosieModel!$B$53:$B$55</definedName>
    <definedName name="ZoutRisico">[2]Instellingen!$R$29:$R$31</definedName>
    <definedName name="ZoutRiskMatrix" localSheetId="3">[1]CorrosieModel!$D$53:$J$55</definedName>
    <definedName name="ZoutRiskMatrix">[2]Instellingen!$T$29:$Z$31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4" l="1"/>
  <c r="A6" i="3" l="1"/>
  <c r="D25" i="4" l="1"/>
  <c r="AF33" i="4" l="1"/>
  <c r="AE33" i="4"/>
  <c r="AD33" i="4"/>
  <c r="AC33" i="4"/>
  <c r="AB33" i="4"/>
  <c r="Z33" i="4"/>
  <c r="Y33" i="4"/>
  <c r="X33" i="4"/>
  <c r="W33" i="4"/>
  <c r="V33" i="4"/>
  <c r="T33" i="4"/>
  <c r="S33" i="4"/>
  <c r="R33" i="4"/>
  <c r="Q33" i="4"/>
  <c r="P33" i="4"/>
  <c r="AF32" i="4"/>
  <c r="AE32" i="4"/>
  <c r="AD32" i="4"/>
  <c r="AC32" i="4"/>
  <c r="AB32" i="4"/>
  <c r="Z32" i="4"/>
  <c r="Y32" i="4"/>
  <c r="X32" i="4"/>
  <c r="W32" i="4"/>
  <c r="V32" i="4"/>
  <c r="T32" i="4"/>
  <c r="S32" i="4"/>
  <c r="R32" i="4"/>
  <c r="Q32" i="4"/>
  <c r="P32" i="4"/>
  <c r="AF31" i="4"/>
  <c r="AE31" i="4"/>
  <c r="AD31" i="4"/>
  <c r="AC31" i="4"/>
  <c r="AB31" i="4"/>
  <c r="Z31" i="4"/>
  <c r="Y31" i="4"/>
  <c r="X31" i="4"/>
  <c r="W31" i="4"/>
  <c r="V31" i="4"/>
  <c r="T31" i="4"/>
  <c r="S31" i="4"/>
  <c r="R31" i="4"/>
  <c r="Q31" i="4"/>
  <c r="P31" i="4"/>
  <c r="E31" i="4"/>
  <c r="E32" i="4" s="1"/>
  <c r="E33" i="4" s="1"/>
  <c r="AF30" i="4"/>
  <c r="AE30" i="4"/>
  <c r="AD30" i="4"/>
  <c r="AC30" i="4"/>
  <c r="AB30" i="4"/>
  <c r="Z30" i="4"/>
  <c r="Y30" i="4"/>
  <c r="X30" i="4"/>
  <c r="W30" i="4"/>
  <c r="V30" i="4"/>
  <c r="T30" i="4"/>
  <c r="S30" i="4"/>
  <c r="R30" i="4"/>
  <c r="Q30" i="4"/>
  <c r="P30" i="4"/>
  <c r="AF29" i="4"/>
  <c r="AE29" i="4"/>
  <c r="AD29" i="4"/>
  <c r="AC29" i="4"/>
  <c r="AB29" i="4"/>
  <c r="Z29" i="4"/>
  <c r="Y29" i="4"/>
  <c r="X29" i="4"/>
  <c r="W29" i="4"/>
  <c r="V29" i="4"/>
  <c r="T29" i="4"/>
  <c r="S29" i="4"/>
  <c r="R29" i="4"/>
  <c r="Q29" i="4"/>
  <c r="P29" i="4"/>
  <c r="AB28" i="4"/>
  <c r="V28" i="4"/>
  <c r="P28" i="4"/>
  <c r="J18" i="1" l="1"/>
  <c r="J15" i="1"/>
  <c r="J11" i="1"/>
  <c r="J4" i="1"/>
  <c r="J37" i="1"/>
  <c r="J30" i="1"/>
  <c r="J27" i="1"/>
  <c r="D35" i="1"/>
  <c r="H3" i="1"/>
  <c r="B2" i="3" s="1"/>
  <c r="D27" i="1"/>
  <c r="D20" i="1"/>
  <c r="D13" i="1"/>
  <c r="D9" i="1"/>
  <c r="D4" i="1"/>
  <c r="B4" i="3" l="1"/>
  <c r="E19" i="4" s="1"/>
  <c r="F19" i="4" s="1"/>
  <c r="A4" i="3"/>
  <c r="E18" i="4" s="1"/>
  <c r="F18" i="4" s="1"/>
  <c r="G21" i="4" l="1"/>
  <c r="G20" i="4"/>
  <c r="G25" i="4" s="1"/>
  <c r="G23" i="4" s="1"/>
  <c r="H23" i="4" s="1"/>
  <c r="H21" i="4" l="1"/>
</calcChain>
</file>

<file path=xl/comments1.xml><?xml version="1.0" encoding="utf-8"?>
<comments xmlns="http://schemas.openxmlformats.org/spreadsheetml/2006/main">
  <authors>
    <author>Geert Henk Wijnants</author>
  </authors>
  <commentList>
    <comment ref="C33" authorId="0" shapeId="0">
      <text>
        <r>
          <rPr>
            <b/>
            <sz val="9"/>
            <color indexed="81"/>
            <rFont val="Tahoma"/>
            <family val="2"/>
          </rPr>
          <t>Please note:</t>
        </r>
        <r>
          <rPr>
            <sz val="9"/>
            <color indexed="81"/>
            <rFont val="Tahoma"/>
            <family val="2"/>
          </rPr>
          <t xml:space="preserve">
This concerns the question of whether the diameter of the object has been included as a selection criterion for the appropriate technique. </t>
        </r>
      </text>
    </comment>
    <comment ref="C36" authorId="0" shapeId="0">
      <text>
        <r>
          <rPr>
            <b/>
            <sz val="9"/>
            <color indexed="81"/>
            <rFont val="Tahoma"/>
            <family val="2"/>
          </rPr>
          <t>Please note:</t>
        </r>
        <r>
          <rPr>
            <sz val="9"/>
            <color indexed="81"/>
            <rFont val="Tahoma"/>
            <family val="2"/>
          </rPr>
          <t xml:space="preserve">
The cost-effectiveness includes the costs of the technique and the costs of failure to apply the technique or not.</t>
        </r>
      </text>
    </comment>
  </commentList>
</comments>
</file>

<file path=xl/comments2.xml><?xml version="1.0" encoding="utf-8"?>
<comments xmlns="http://schemas.openxmlformats.org/spreadsheetml/2006/main">
  <authors>
    <author>Geert Henk Wijnants</author>
  </authors>
  <commentList>
    <comment ref="B14" authorId="0" shapeId="0">
      <text>
        <r>
          <rPr>
            <b/>
            <sz val="9"/>
            <color indexed="81"/>
            <rFont val="Tahoma"/>
            <family val="2"/>
          </rPr>
          <t>Another way of looking at this question:</t>
        </r>
        <r>
          <rPr>
            <sz val="9"/>
            <color indexed="81"/>
            <rFont val="Tahoma"/>
            <family val="2"/>
          </rPr>
          <t xml:space="preserve">
Is the installation in good condition?
So insulation sealed, no openings (sometimes from construction) and damage so that moisture can leak into the installation.</t>
        </r>
      </text>
    </comment>
    <comment ref="C15" authorId="0" shapeId="0">
      <text>
        <r>
          <rPr>
            <b/>
            <sz val="9"/>
            <color indexed="81"/>
            <rFont val="Tahoma"/>
            <family val="2"/>
          </rPr>
          <t>Geert Henk Wijnants:</t>
        </r>
        <r>
          <rPr>
            <sz val="9"/>
            <color indexed="81"/>
            <rFont val="Tahoma"/>
            <family val="2"/>
          </rPr>
          <t xml:space="preserve">
Aug. 2021: A reasonable estimate for the seriousness of consequences shall be assumed for categories for which this usually applies with more or less hazardous products.
</t>
        </r>
        <r>
          <rPr>
            <b/>
            <sz val="9"/>
            <color indexed="81"/>
            <rFont val="Tahoma"/>
            <family val="2"/>
          </rPr>
          <t>Example:</t>
        </r>
        <r>
          <rPr>
            <sz val="9"/>
            <color indexed="81"/>
            <rFont val="Tahoma"/>
            <family val="2"/>
          </rPr>
          <t xml:space="preserve"> In case (a) there is no adequate program for piping and (b) failures have already been encountered, the first question is answered by "yes".</t>
        </r>
      </text>
    </comment>
    <comment ref="P29" authorId="0" shapeId="0">
      <text>
        <r>
          <rPr>
            <b/>
            <sz val="9"/>
            <color indexed="81"/>
            <rFont val="Tahoma"/>
            <family val="2"/>
          </rPr>
          <t>Geert Henk Wijnants:</t>
        </r>
        <r>
          <rPr>
            <sz val="9"/>
            <color indexed="81"/>
            <rFont val="Tahoma"/>
            <family val="2"/>
          </rPr>
          <t xml:space="preserve">
Hier een stap van 10 genomen voor de POF, nét zoals de stappen in POF van 4 naar 3 etc.</t>
        </r>
      </text>
    </comment>
    <comment ref="Z29" authorId="0" shapeId="0">
      <text>
        <r>
          <rPr>
            <b/>
            <sz val="9"/>
            <color indexed="81"/>
            <rFont val="Tahoma"/>
            <family val="2"/>
          </rPr>
          <t>Geert Henk Wijnants:</t>
        </r>
        <r>
          <rPr>
            <sz val="9"/>
            <color indexed="81"/>
            <rFont val="Tahoma"/>
            <family val="2"/>
          </rPr>
          <t xml:space="preserve">
Hier 10 keer zo grote waarde genomen, net zoals in de stappen van A-D.</t>
        </r>
      </text>
    </comment>
    <comment ref="AB33" authorId="0" shapeId="0">
      <text>
        <r>
          <rPr>
            <b/>
            <sz val="9"/>
            <color indexed="81"/>
            <rFont val="Tahoma"/>
            <family val="2"/>
          </rPr>
          <t>Berekening:</t>
        </r>
        <r>
          <rPr>
            <sz val="9"/>
            <color indexed="81"/>
            <rFont val="Tahoma"/>
            <family val="2"/>
          </rPr>
          <t xml:space="preserve">
In de noemer staat de gemiddelde stapgrootte waarmee de volgende gemiddelde kanscategorie is toegenomen tov de vorige.</t>
        </r>
      </text>
    </comment>
    <comment ref="J42" authorId="0" shapeId="0">
      <text>
        <r>
          <rPr>
            <b/>
            <sz val="9"/>
            <color indexed="81"/>
            <rFont val="Tahoma"/>
            <family val="2"/>
          </rPr>
          <t>Remark:</t>
        </r>
        <r>
          <rPr>
            <sz val="9"/>
            <color indexed="81"/>
            <rFont val="Tahoma"/>
            <family val="2"/>
          </rPr>
          <t xml:space="preserve">
This value has been added, based on the previous steps of 0,2.</t>
        </r>
      </text>
    </comment>
  </commentList>
</comments>
</file>

<file path=xl/sharedStrings.xml><?xml version="1.0" encoding="utf-8"?>
<sst xmlns="http://schemas.openxmlformats.org/spreadsheetml/2006/main" count="288" uniqueCount="267">
  <si>
    <t xml:space="preserve">
</t>
  </si>
  <si>
    <t>World Class Maintenance.</t>
  </si>
  <si>
    <t>Project:</t>
  </si>
  <si>
    <t>Input</t>
  </si>
  <si>
    <t>Output</t>
  </si>
  <si>
    <t xml:space="preserve">Risk matrix; Table 3; NEN-EN 16991; </t>
  </si>
  <si>
    <t>Lower limits calc.</t>
  </si>
  <si>
    <t>POF</t>
  </si>
  <si>
    <t>Upper limits calc.</t>
  </si>
  <si>
    <t>Averaged limits calc.</t>
  </si>
  <si>
    <t>MOTBF</t>
  </si>
  <si>
    <t>U_Limit</t>
  </si>
  <si>
    <t>PoF annual</t>
  </si>
  <si>
    <t>PoF_U_Limit</t>
  </si>
  <si>
    <t>Qualitative</t>
  </si>
  <si>
    <t>Description:</t>
  </si>
  <si>
    <t>Cat.</t>
  </si>
  <si>
    <t>Probability of Failure / Likelyhood</t>
  </si>
  <si>
    <t>&lt; 1 Year</t>
  </si>
  <si>
    <r>
      <t>&gt; 10</t>
    </r>
    <r>
      <rPr>
        <vertAlign val="superscript"/>
        <sz val="10"/>
        <color theme="1"/>
        <rFont val="Trebuchet MS"/>
        <family val="2"/>
      </rPr>
      <t>-2</t>
    </r>
  </si>
  <si>
    <t>Very probable</t>
  </si>
  <si>
    <t>In a small population*, one or more failures can be expected annually.</t>
  </si>
  <si>
    <t>Failure has occurred several times a year in location.</t>
  </si>
  <si>
    <t>Very High risk</t>
  </si>
  <si>
    <t>1-5 Years</t>
  </si>
  <si>
    <r>
      <t>10</t>
    </r>
    <r>
      <rPr>
        <vertAlign val="superscript"/>
        <sz val="10"/>
        <color theme="1"/>
        <rFont val="Trebuchet MS"/>
        <family val="2"/>
      </rPr>
      <t>-3</t>
    </r>
    <r>
      <rPr>
        <sz val="10"/>
        <color theme="1"/>
        <rFont val="Trebuchet MS"/>
        <family val="2"/>
      </rPr>
      <t xml:space="preserve"> to 10</t>
    </r>
    <r>
      <rPr>
        <vertAlign val="superscript"/>
        <sz val="10"/>
        <color theme="1"/>
        <rFont val="Trebuchet MS"/>
        <family val="2"/>
      </rPr>
      <t>-2</t>
    </r>
  </si>
  <si>
    <t>Probable</t>
  </si>
  <si>
    <t>In a large population**, one or more failures can be expected annually.</t>
  </si>
  <si>
    <t>Failure has occurred several times a year in operating company.</t>
  </si>
  <si>
    <t>High risk</t>
  </si>
  <si>
    <t>5-25 years</t>
  </si>
  <si>
    <r>
      <t>10</t>
    </r>
    <r>
      <rPr>
        <vertAlign val="superscript"/>
        <sz val="10"/>
        <color theme="1"/>
        <rFont val="Trebuchet MS"/>
        <family val="2"/>
      </rPr>
      <t>-4</t>
    </r>
    <r>
      <rPr>
        <sz val="10"/>
        <color theme="1"/>
        <rFont val="Trebuchet MS"/>
        <family val="2"/>
      </rPr>
      <t xml:space="preserve"> to 10</t>
    </r>
    <r>
      <rPr>
        <vertAlign val="superscript"/>
        <sz val="10"/>
        <color theme="1"/>
        <rFont val="Trebuchet MS"/>
        <family val="2"/>
      </rPr>
      <t>-3</t>
    </r>
  </si>
  <si>
    <t>Possible</t>
  </si>
  <si>
    <t>Several failures may occur during the life of the installation for a system comprising or a small number of equipment.</t>
  </si>
  <si>
    <t>Failure has occurred in company.</t>
  </si>
  <si>
    <t>Medium risk</t>
  </si>
  <si>
    <t>25-120 years</t>
  </si>
  <si>
    <r>
      <t>10</t>
    </r>
    <r>
      <rPr>
        <vertAlign val="superscript"/>
        <sz val="10"/>
        <color theme="1"/>
        <rFont val="Trebuchet MS"/>
        <family val="2"/>
      </rPr>
      <t>-5</t>
    </r>
    <r>
      <rPr>
        <sz val="10"/>
        <color theme="1"/>
        <rFont val="Trebuchet MS"/>
        <family val="2"/>
      </rPr>
      <t xml:space="preserve"> to 10</t>
    </r>
    <r>
      <rPr>
        <vertAlign val="superscript"/>
        <sz val="10"/>
        <color theme="1"/>
        <rFont val="Trebuchet MS"/>
        <family val="2"/>
      </rPr>
      <t>-4</t>
    </r>
  </si>
  <si>
    <t>Unlikely</t>
  </si>
  <si>
    <t>Several failures may occur during the life of the installation for a system comprising of a large number of equipment</t>
  </si>
  <si>
    <t>Failure has occurred in industry</t>
  </si>
  <si>
    <t>Low risk</t>
  </si>
  <si>
    <t>&gt; 125 years</t>
  </si>
  <si>
    <r>
      <t>&lt; 10</t>
    </r>
    <r>
      <rPr>
        <vertAlign val="superscript"/>
        <sz val="10"/>
        <color theme="1"/>
        <rFont val="Trebuchet MS"/>
        <family val="2"/>
      </rPr>
      <t>-5</t>
    </r>
  </si>
  <si>
    <t>Very unlikely</t>
  </si>
  <si>
    <t>Failure is not expected</t>
  </si>
  <si>
    <t>Failure has not occurred in industry.</t>
  </si>
  <si>
    <t>Very low
(negligible risk)</t>
  </si>
  <si>
    <t>Notes:</t>
  </si>
  <si>
    <t>A</t>
  </si>
  <si>
    <t>B</t>
  </si>
  <si>
    <t>C</t>
  </si>
  <si>
    <t>D</t>
  </si>
  <si>
    <t>E</t>
  </si>
  <si>
    <t>*  Small population = 20 to 50 items of equipment</t>
  </si>
  <si>
    <t>**  Large population = More than 50 items of equipment</t>
  </si>
  <si>
    <t>Health</t>
  </si>
  <si>
    <t>Safety</t>
  </si>
  <si>
    <t>Environment</t>
  </si>
  <si>
    <t>Business (€)</t>
  </si>
  <si>
    <t>Security</t>
  </si>
  <si>
    <t>Loss of reputation</t>
  </si>
  <si>
    <t>Public disruption</t>
  </si>
  <si>
    <t>Consequence of Failure / Severity</t>
  </si>
  <si>
    <t>Warning issued.
No effect.</t>
  </si>
  <si>
    <t>No aid needed.
Work disruption.</t>
  </si>
  <si>
    <t>Negligible impact.</t>
  </si>
  <si>
    <t>None</t>
  </si>
  <si>
    <t>Warning issued.
Possible impact.</t>
  </si>
  <si>
    <t>First aid needed.
No work disability.</t>
  </si>
  <si>
    <t>Impact (e.g. spill) contained.</t>
  </si>
  <si>
    <t>On-site (Local)</t>
  </si>
  <si>
    <t>Minor</t>
  </si>
  <si>
    <t>Negligible</t>
  </si>
  <si>
    <t>Temporary health problems,
curable</t>
  </si>
  <si>
    <t>Temporaty work disability.</t>
  </si>
  <si>
    <t>Minor impact (e.g. spill)</t>
  </si>
  <si>
    <t>On-site (General)</t>
  </si>
  <si>
    <t>Bad publicity</t>
  </si>
  <si>
    <t>Limited impact on public health, threat of chronic diseases</t>
  </si>
  <si>
    <t>Permanent work disability.</t>
  </si>
  <si>
    <t>On-site damage.</t>
  </si>
  <si>
    <t>Off site</t>
  </si>
  <si>
    <t>Company issue</t>
  </si>
  <si>
    <t>Small community</t>
  </si>
  <si>
    <t>Serious impact on public health, life threatening illness</t>
  </si>
  <si>
    <t>Fatalities.</t>
  </si>
  <si>
    <t>Off-site damage.
Long term effect.</t>
  </si>
  <si>
    <t>Society threat</t>
  </si>
  <si>
    <t>Political issue</t>
  </si>
  <si>
    <t>Large community</t>
  </si>
  <si>
    <t>Safety:</t>
  </si>
  <si>
    <t>Enviroment:</t>
  </si>
  <si>
    <t>Business:</t>
  </si>
  <si>
    <t>Security:</t>
  </si>
  <si>
    <t>Loss of reputation:</t>
  </si>
  <si>
    <t>Public disruption:</t>
  </si>
  <si>
    <t>Red.factor:</t>
  </si>
  <si>
    <t>é</t>
  </si>
  <si>
    <t>ê</t>
  </si>
  <si>
    <t>è è è</t>
  </si>
  <si>
    <t>This worksheet contains an elaboration of the tool to assess an applied method for CUI management.</t>
  </si>
  <si>
    <t>It thus aims to provide an asset owner with a guide for opportunities for effectiveness improvement</t>
  </si>
  <si>
    <t>The elaboration of the various project components is based on a "default" risk-based approach from the RB-CUI management tool.</t>
  </si>
  <si>
    <t>The description of those parts is summarized in the final version of this tool.</t>
  </si>
  <si>
    <t>This tool is available as a resource for those who wish to evaluate the approach they are using.</t>
  </si>
  <si>
    <t>In addition, the tool also functions as a test for the practicality of the end result.</t>
  </si>
  <si>
    <t>The motto used is: "an explicit decision-making process can be captured in a decision model".</t>
  </si>
  <si>
    <t>Tool that tests applied methods for CUI management against the Best Practice for Risk Based CUI Management.</t>
  </si>
  <si>
    <r>
      <t xml:space="preserve">Color coding used: </t>
    </r>
    <r>
      <rPr>
        <sz val="10"/>
        <color theme="1"/>
        <rFont val="Trebuchet MS"/>
        <family val="2"/>
      </rPr>
      <t>(standard according to Microsoft Excel):</t>
    </r>
  </si>
  <si>
    <t>No data entry required:</t>
  </si>
  <si>
    <t>Result of input (output):</t>
  </si>
  <si>
    <t>(refers to data that may or may not be required depending on other data)</t>
  </si>
  <si>
    <t xml:space="preserve">The following tools have been used in this tool: </t>
  </si>
  <si>
    <t>• Prepared PDF containing best practice in accordance with the ISO HLS format.                              PDF</t>
  </si>
  <si>
    <t>This tool has applied those tools in the form of a comparative test in the following places</t>
  </si>
  <si>
    <t>• The assessment of the applied CUI management on the basis of the established best practice.      Tab: GAP analysis</t>
  </si>
  <si>
    <t>This can be regarded as an assessment at level I resp. level II.</t>
  </si>
  <si>
    <t>Depending on the level of the organization, it is possible to test for tooling resp. on tooling AND concept control (ISO HLS)</t>
  </si>
  <si>
    <t>Note: if there is only documentation without any operational work processes, no applied concept will be present with therefore result 0.</t>
  </si>
  <si>
    <t>Developments:</t>
  </si>
  <si>
    <t>In time, it is envisaged that an (anonymous) overview of the most common gaps can be made after testing.</t>
  </si>
  <si>
    <t>By establishing the relationship with the level of risk reduction, it is possible to effectively steer towards more effective management.</t>
  </si>
  <si>
    <t>This will allow for more detailed suggestions and initiatives for targeted improvement.</t>
  </si>
  <si>
    <t>Because these kinds of developments are not yet "proven practice", they have not been incorporated into this "add-on" of the best practice.</t>
  </si>
  <si>
    <t>1: Gap analysis against the BP Risk Based CUI management; tooling</t>
  </si>
  <si>
    <t>Risk assessment as incorporated in "Best Practice for Risk Based CUI Management".</t>
  </si>
  <si>
    <t>Assessment framework:</t>
  </si>
  <si>
    <t>Framework:</t>
  </si>
  <si>
    <t>During the assessment, it is verified to what extent the following elements are present:</t>
  </si>
  <si>
    <r>
      <t>Management framework:</t>
    </r>
    <r>
      <rPr>
        <sz val="10"/>
        <color theme="1"/>
        <rFont val="Trebuchet MS"/>
        <family val="2"/>
      </rPr>
      <t xml:space="preserve"> (focused on improvement cycle with evaluation, etc.)</t>
    </r>
  </si>
  <si>
    <t>Has a structure with ownership and improvement cycle (in accordance with ISO HLS)</t>
  </si>
  <si>
    <t>Has a systematic approach with distribution of activities over the years:</t>
  </si>
  <si>
    <t>Contains a budget structure based on the required expenditure:</t>
  </si>
  <si>
    <t>Evaluates deviations where the applied system has failed:</t>
  </si>
  <si>
    <t>Risk assessment:</t>
  </si>
  <si>
    <t>Risk assessment includes legal perspective on fatality (&lt;10^-4):</t>
  </si>
  <si>
    <t>Determining the risk based on the available corrosion margin:</t>
  </si>
  <si>
    <t>Corrosion speed:</t>
  </si>
  <si>
    <t>Distinction between steel / stainless steel:</t>
  </si>
  <si>
    <t>Based on temperature:</t>
  </si>
  <si>
    <t>Dependence on type of insulation:</t>
  </si>
  <si>
    <t>Depending on condition (state) of insulation (leak-tight):</t>
  </si>
  <si>
    <t>Objectives from the approach have been translated into functions and levels.</t>
  </si>
  <si>
    <t>Objectives are set and followed SMART.</t>
  </si>
  <si>
    <t>Available resources for CUI management are applied.</t>
  </si>
  <si>
    <t>Service life of coating:</t>
  </si>
  <si>
    <t>Distinguish coating / TSA:</t>
  </si>
  <si>
    <t>Judged based on proven experience:</t>
  </si>
  <si>
    <t>Input generation of the coating:</t>
  </si>
  <si>
    <t>Input of preservability from design:</t>
  </si>
  <si>
    <t>Contribution of work process and degree of experience of applicator:</t>
  </si>
  <si>
    <t>Method of management of the insulation:</t>
  </si>
  <si>
    <t>NDT Effectiveness:</t>
  </si>
  <si>
    <t>Input type of the research object (typical):</t>
  </si>
  <si>
    <t>Uses an overview of the effectiveness of the techniques to be applied:</t>
  </si>
  <si>
    <t>Distinction according to wall thickness to be investigated:</t>
  </si>
  <si>
    <t>NDT Efficiency:</t>
  </si>
  <si>
    <t>Knows options blasting / painting, screening and follow-up, RTF, upgrade:</t>
  </si>
  <si>
    <t>The people involved are aware of their effect on the approach.</t>
  </si>
  <si>
    <t>Communication, internally and externally, with regard to approach has been worked out.</t>
  </si>
  <si>
    <t>The applied approach is documented in accordance with HLS</t>
  </si>
  <si>
    <t>Documentation is traceable, dated and status is fixed.</t>
  </si>
  <si>
    <t>The documented information is managed.</t>
  </si>
  <si>
    <t>Management requirements have been worked out (storage, change, retention periods)</t>
  </si>
  <si>
    <t>External relevant documentation is managed.</t>
  </si>
  <si>
    <t>Processes performed are checked against requirements</t>
  </si>
  <si>
    <t>Changes are monitored</t>
  </si>
  <si>
    <t>Quality of outsourced work is checked against system requirements</t>
  </si>
  <si>
    <t>Required monitoring has been determined and worked out</t>
  </si>
  <si>
    <t>Evidence of the effectiveness of the approach is documented.</t>
  </si>
  <si>
    <t>System performance is evaluated</t>
  </si>
  <si>
    <t>Approach is audited as planned</t>
  </si>
  <si>
    <t>Approach is implemented systematically</t>
  </si>
  <si>
    <t>Includes management review</t>
  </si>
  <si>
    <t>Management review contains decisions for adjustment</t>
  </si>
  <si>
    <t>Acting on observed deviations</t>
  </si>
  <si>
    <t>Application of RCAs in the event of system failure</t>
  </si>
  <si>
    <t>Continuous improvement</t>
  </si>
  <si>
    <t>Distinction according to diameter to be investigated:</t>
  </si>
  <si>
    <t>Intended goals for CUI management have been made explicit</t>
  </si>
  <si>
    <t>Stakeholders have been identified and their requirements have been identified.</t>
  </si>
  <si>
    <t>Processing these requirements is the responsibility of senior management</t>
  </si>
  <si>
    <t>Needs and requirements are processed via company values ​​matrix</t>
  </si>
  <si>
    <t>Scope and content of the approach have been specified</t>
  </si>
  <si>
    <t>Scope of application is documented</t>
  </si>
  <si>
    <t>Approach has been implemented in accordance with ISO HLS, including improvement loops</t>
  </si>
  <si>
    <t>Management has implemented CUI management within the strategy</t>
  </si>
  <si>
    <t>A policy for the rollout of the work process has been implemented.</t>
  </si>
  <si>
    <t>The policy is available to interested parties and will be communicated.</t>
  </si>
  <si>
    <t>Powers and roles with regard to CUI management are assigned and communicated.</t>
  </si>
  <si>
    <t>The method of dealing with risks and evaluation thereof is fixed</t>
  </si>
  <si>
    <t>Required competences have been determined and demonstrably present.</t>
  </si>
  <si>
    <r>
      <t xml:space="preserve">Findings: </t>
    </r>
    <r>
      <rPr>
        <sz val="10"/>
        <color theme="1"/>
        <rFont val="Trebuchet MS"/>
        <family val="2"/>
      </rPr>
      <t>(generally observed aspects as a result of method)</t>
    </r>
  </si>
  <si>
    <r>
      <t>Findings:</t>
    </r>
    <r>
      <rPr>
        <sz val="10"/>
        <color theme="1"/>
        <rFont val="Trebuchet MS"/>
        <family val="2"/>
      </rPr>
      <t xml:space="preserve"> (generally observed aspects as a result of method)</t>
    </r>
  </si>
  <si>
    <t>GAP analysis of the applied method for CUI management compared to the WCM Best practice.</t>
  </si>
  <si>
    <t>Effectiveness reduction (factor) compared to the BP reference, assuming a linear effect (1 = maximum):</t>
  </si>
  <si>
    <t>Remarks:</t>
  </si>
  <si>
    <t>Context of the organization:</t>
  </si>
  <si>
    <t>Leadership:</t>
  </si>
  <si>
    <t>Schedule:</t>
  </si>
  <si>
    <t>Support:</t>
  </si>
  <si>
    <t>Performance:</t>
  </si>
  <si>
    <t>Performance evaluation:</t>
  </si>
  <si>
    <t>Improvement:</t>
  </si>
  <si>
    <t>Assumptions:</t>
  </si>
  <si>
    <t>Depending on the type of installation, repair and recommissioning is possible. This of course partly determines the costs or loss.</t>
  </si>
  <si>
    <t>The likelihood of an incident varies depending on the overall condition of the installation.</t>
  </si>
  <si>
    <t>Guide inquiries:</t>
  </si>
  <si>
    <t>(this can be made visible below with the help of the consequences of failure)</t>
  </si>
  <si>
    <t> Is the installation and maintenance of the installation supervised so that the risk of moisture in the insulation is negligible?</t>
  </si>
  <si>
    <t>Questions:</t>
  </si>
  <si>
    <t>Effects; Health:</t>
  </si>
  <si>
    <t>Reference table:</t>
  </si>
  <si>
    <t>Eff. class:</t>
  </si>
  <si>
    <t>Coverage:</t>
  </si>
  <si>
    <t>Conclusion:</t>
  </si>
  <si>
    <t>With the risk matrix as shown, the risk in cost representation in all situations corresponds to the risk in color representation.</t>
  </si>
  <si>
    <t>The color rendering has been adjusted, whereby the category&gt; 125 with the highest consequences has now turned yellow (= avoid if feasible).</t>
  </si>
  <si>
    <t>The argument why a serious impact with the lowest frequency may be yellow is that this reasonable worst case does not occur during the life of the installation.</t>
  </si>
  <si>
    <t>The basic principle is that the installation has been designed safely, so that from the design point of view a safety level with a risk of fatal incident &lt;10-5 yr-1 is met.</t>
  </si>
  <si>
    <t>The apparent discrepancy between the TTF and the failure probability lies in the fact that the failure probability is assumed to be present within the indicated TTF period.</t>
  </si>
  <si>
    <t>The probability of failure is the leading factor, since at the moment of expected failure the failure probability increases to 1, which is usually prevented by repair / replacement.</t>
  </si>
  <si>
    <r>
      <rPr>
        <sz val="10"/>
        <color theme="1"/>
        <rFont val="Wingdings"/>
        <charset val="2"/>
      </rPr>
      <t>ñ</t>
    </r>
    <r>
      <rPr>
        <sz val="8.5"/>
        <color theme="1"/>
        <rFont val="Trebuchet MS"/>
        <family val="2"/>
      </rPr>
      <t xml:space="preserve"> </t>
    </r>
    <r>
      <rPr>
        <sz val="10"/>
        <color theme="1"/>
        <rFont val="Trebuchet MS"/>
        <family val="2"/>
      </rPr>
      <t>Inspection interval correction factor. Dependant on consequences.</t>
    </r>
  </si>
  <si>
    <t>Explanation of this worksheet:</t>
  </si>
  <si>
    <t>Negligible risks.</t>
  </si>
  <si>
    <t>Risks acceptable.</t>
  </si>
  <si>
    <t>Limiting risks without specific requirements.</t>
  </si>
  <si>
    <t>Demonstrably reduce risks with a proven factor of 10-100 to "yellow zone"</t>
  </si>
  <si>
    <t>Unacceptable risk; redesign necessary.</t>
  </si>
  <si>
    <t>Action on risk reduction:</t>
  </si>
  <si>
    <t>For the meaning of specific terms used, put the cursor in a cell (activate that cell).</t>
  </si>
  <si>
    <t>Effectiveness risk approach:</t>
  </si>
  <si>
    <t>Costs per year (in k€/yr.):</t>
  </si>
  <si>
    <t>Questions CUI program:</t>
  </si>
  <si>
    <t>Failure due to CUI possible?</t>
  </si>
  <si>
    <t>Yes</t>
  </si>
  <si>
    <t>CUI profile:</t>
  </si>
  <si>
    <t>Answers:</t>
  </si>
  <si>
    <t>Is there an isolated installation where CUI, if it occurs, can cause significant problems?</t>
  </si>
  <si>
    <t>Have problems already arisen as a result of the occurrence of CUI?</t>
  </si>
  <si>
    <t>Has the installation already reached such an age that CUI can be a problem?</t>
  </si>
  <si>
    <t>If CUI management is NOT in order, this can lead to a failure situation in the installation, with a - due to the failure - forced temporary "outage" / trip / decommissioning.</t>
  </si>
  <si>
    <t>Cost-Benefit analysis when applying Risk Based CUI Management approach.</t>
  </si>
  <si>
    <t>The basic question is: in view of the conditions of use (temperatures) and the installations for which CUI is an issue, is failure possible?</t>
  </si>
  <si>
    <t>Depending on that question, the costs of the CUI failure scenario can then be estimated.</t>
  </si>
  <si>
    <t>This is done using the risk module as applied in the CUI Best Practice.</t>
  </si>
  <si>
    <t>This worksheet contains a cost / benefit analysis of the application of CUI management.        
The benefit side is based on the budget of limiting the cost of the risk; the costs concern the costs of implementing the program.        
This worksheet contains an adapted version of the risk matrix from NEN-EN 16991.        
This structure has been validated by the CUI working group (meeting of 8 March 19).</t>
  </si>
  <si>
    <r>
      <t xml:space="preserve">Distinction screening &amp; condition </t>
    </r>
    <r>
      <rPr>
        <sz val="8"/>
        <color theme="1"/>
        <rFont val="Trebuchet MS"/>
        <family val="2"/>
      </rPr>
      <t>(corrosion detection), moisture detection, wall thickness (condition):</t>
    </r>
  </si>
  <si>
    <t>Quantitative risk assessment with calculation of probability x costs:</t>
  </si>
  <si>
    <t>Based on number of temperature changes:</t>
  </si>
  <si>
    <t>Dependence on type of environment (corrosivity class):</t>
  </si>
  <si>
    <t>Process requires level of coverage (survey percentage):</t>
  </si>
  <si>
    <t>Processes required level of risk reduction:</t>
  </si>
  <si>
    <t>Uses consideration of the most cost-effective method:</t>
  </si>
  <si>
    <t>Fill the team composition in here.</t>
  </si>
  <si>
    <t>Place remarks with respect to the resulting findings here….</t>
  </si>
  <si>
    <r>
      <t>(Think of the failure probability of the battery being 10</t>
    </r>
    <r>
      <rPr>
        <vertAlign val="superscript"/>
        <sz val="10"/>
        <color theme="1"/>
        <rFont val="Trebuchet MS"/>
        <family val="2"/>
      </rPr>
      <t>-4</t>
    </r>
    <r>
      <rPr>
        <sz val="10"/>
        <color theme="1"/>
        <rFont val="Trebuchet MS"/>
        <family val="2"/>
      </rPr>
      <t xml:space="preserve"> /yr. within the lifespan of a battery or TTF of 4 years).</t>
    </r>
  </si>
  <si>
    <t>Optional</t>
  </si>
  <si>
    <t>Optional input (for help):</t>
  </si>
  <si>
    <t>Input of data (input):</t>
  </si>
  <si>
    <t>Casuistry:</t>
  </si>
  <si>
    <t>2: Gap analysis against the BP Risk Based CUI management; ISO HLS Management structure.</t>
  </si>
  <si>
    <t>Assessment based on the assessment criteria as incorporated in the best practice document.</t>
  </si>
  <si>
    <t>• The assessment of the applied CUI management on the basis of the available tooling.                      Tab: GAP analysis</t>
  </si>
  <si>
    <r>
      <t>•</t>
    </r>
    <r>
      <rPr>
        <sz val="8.5"/>
        <rFont val="Trebuchet MS"/>
        <family val="2"/>
      </rPr>
      <t xml:space="preserve"> </t>
    </r>
    <r>
      <rPr>
        <sz val="10"/>
        <rFont val="Trebuchet MS"/>
        <family val="2"/>
      </rPr>
      <t>Prepared tool for risk-based CUI management.                                                                                     Tab: Installation.</t>
    </r>
  </si>
  <si>
    <t>Best Practise for Risk Based Corrosion Under Isolation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</si>
</sst>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64" formatCode="&quot;[∆&quot;0&quot;]&quot;"/>
    <numFmt numFmtId="165" formatCode="0.0"/>
    <numFmt numFmtId="166" formatCode="0.000"/>
    <numFmt numFmtId="167" formatCode="0&quot; Yr.&quot;"/>
    <numFmt numFmtId="168" formatCode="&quot;≤ &quot;0.E+00"/>
    <numFmt numFmtId="169" formatCode="#,##0.0"/>
    <numFmt numFmtId="170" formatCode="&quot;&lt; &quot;#,##0&quot; k€&quot;"/>
    <numFmt numFmtId="171" formatCode="&quot;&gt; &quot;#,##0&quot; k€&quot;"/>
    <numFmt numFmtId="172" formatCode="&quot;HLS: &quot;0.000"/>
    <numFmt numFmtId="173" formatCode="&quot;Tool: &quot;0.000"/>
    <numFmt numFmtId="174" formatCode="0%&quot; Risk red.&quot;"/>
    <numFmt numFmtId="175" formatCode="&quot;Drawn up on: &quot;d/m/yyyy\ hh:mm"/>
    <numFmt numFmtId="176" formatCode="&quot;By: &quot;@"/>
    <numFmt numFmtId="177" formatCode="#,##0&quot; k€/yr&quot;"/>
    <numFmt numFmtId="178" formatCode="&quot;Average: &quot;#,##0&quot; k€/yr&quot;"/>
    <numFmt numFmtId="179" formatCode="&quot;Uncertainty: &quot;#,##0&quot; k€/yr&quot;"/>
    <numFmt numFmtId="180" formatCode="&quot;or &quot;0.0%&quot; margin.&quot;"/>
    <numFmt numFmtId="181" formatCode="&quot;Ave. earning cap.: &quot;#,##0&quot; k€/yr&quot;"/>
    <numFmt numFmtId="182" formatCode="&quot;Average remaining: &quot;#,##0&quot; k€/yr&quot;"/>
    <numFmt numFmtId="183" formatCode="&quot;ReturnOnInv: &quot;#,##0&quot; k€/yr&quot;_ ;[Red]&quot;ReturnOnInv: &quot;\-#,##0&quot; k€/yr&quot;"/>
    <numFmt numFmtId="184" formatCode="&quot;Cons.: &quot;@"/>
    <numFmt numFmtId="185" formatCode="&quot;Eff.: &quot;@"/>
  </numFmts>
  <fonts count="24" x14ac:knownFonts="1">
    <font>
      <sz val="10"/>
      <color theme="1"/>
      <name val="Trebuchet MS"/>
      <family val="2"/>
    </font>
    <font>
      <sz val="10"/>
      <color rgb="FF3F3F76"/>
      <name val="Trebuchet MS"/>
      <family val="2"/>
    </font>
    <font>
      <b/>
      <sz val="10"/>
      <color rgb="FF3F3F3F"/>
      <name val="Trebuchet MS"/>
      <family val="2"/>
    </font>
    <font>
      <b/>
      <sz val="10"/>
      <color theme="1"/>
      <name val="Trebuchet MS"/>
      <family val="2"/>
    </font>
    <font>
      <sz val="10"/>
      <color theme="0"/>
      <name val="Trebuchet MS"/>
      <family val="2"/>
    </font>
    <font>
      <b/>
      <sz val="20"/>
      <color theme="1"/>
      <name val="Trebuchet MS"/>
      <family val="2"/>
    </font>
    <font>
      <sz val="10"/>
      <name val="Trebuchet MS"/>
      <family val="2"/>
    </font>
    <font>
      <sz val="8.5"/>
      <name val="Trebuchet MS"/>
      <family val="2"/>
    </font>
    <font>
      <i/>
      <sz val="10"/>
      <color theme="1"/>
      <name val="Trebuchet MS"/>
      <family val="2"/>
    </font>
    <font>
      <b/>
      <sz val="14"/>
      <color theme="1"/>
      <name val="Trebuchet MS"/>
      <family val="2"/>
    </font>
    <font>
      <b/>
      <sz val="13"/>
      <color theme="1"/>
      <name val="Trebuchet MS"/>
      <family val="2"/>
    </font>
    <font>
      <b/>
      <sz val="12"/>
      <color theme="1"/>
      <name val="Trebuchet MS"/>
      <family val="2"/>
    </font>
    <font>
      <b/>
      <sz val="9"/>
      <color indexed="81"/>
      <name val="Tahoma"/>
      <family val="2"/>
    </font>
    <font>
      <sz val="9"/>
      <color indexed="81"/>
      <name val="Tahoma"/>
      <family val="2"/>
    </font>
    <font>
      <b/>
      <sz val="10"/>
      <color theme="0"/>
      <name val="Trebuchet MS"/>
      <family val="2"/>
    </font>
    <font>
      <sz val="10"/>
      <color rgb="FFFF0000"/>
      <name val="Trebuchet MS"/>
      <family val="2"/>
    </font>
    <font>
      <sz val="10"/>
      <color theme="1" tint="0.499984740745262"/>
      <name val="Trebuchet MS"/>
      <family val="2"/>
    </font>
    <font>
      <vertAlign val="superscript"/>
      <sz val="10"/>
      <color theme="1"/>
      <name val="Trebuchet MS"/>
      <family val="2"/>
    </font>
    <font>
      <sz val="10"/>
      <color theme="1"/>
      <name val="Wingdings"/>
      <charset val="2"/>
    </font>
    <font>
      <sz val="8.5"/>
      <color theme="1"/>
      <name val="Trebuchet MS"/>
      <family val="2"/>
    </font>
    <font>
      <b/>
      <sz val="10"/>
      <color theme="8" tint="-0.249977111117893"/>
      <name val="Trebuchet MS"/>
      <family val="2"/>
    </font>
    <font>
      <sz val="10"/>
      <color theme="8" tint="-0.249977111117893"/>
      <name val="Trebuchet MS"/>
      <family val="2"/>
    </font>
    <font>
      <sz val="10"/>
      <color theme="1"/>
      <name val="Trebuchet MS"/>
      <family val="2"/>
    </font>
    <font>
      <sz val="8"/>
      <color theme="1"/>
      <name val="Trebuchet MS"/>
      <family val="2"/>
    </font>
  </fonts>
  <fills count="25">
    <fill>
      <patternFill patternType="none"/>
    </fill>
    <fill>
      <patternFill patternType="gray125"/>
    </fill>
    <fill>
      <patternFill patternType="solid">
        <fgColor rgb="FFFFCC99"/>
      </patternFill>
    </fill>
    <fill>
      <patternFill patternType="solid">
        <fgColor rgb="FFF2F2F2"/>
      </patternFill>
    </fill>
    <fill>
      <patternFill patternType="solid">
        <fgColor rgb="FFE6E6E6"/>
        <bgColor indexed="64"/>
      </patternFill>
    </fill>
    <fill>
      <patternFill patternType="solid">
        <fgColor theme="4" tint="-0.249977111117893"/>
        <bgColor indexed="64"/>
      </patternFill>
    </fill>
    <fill>
      <patternFill patternType="solid">
        <fgColor theme="0"/>
        <bgColor indexed="64"/>
      </patternFill>
    </fill>
    <fill>
      <patternFill patternType="lightGray">
        <bgColor rgb="FFFFCC99"/>
      </patternFill>
    </fill>
    <fill>
      <patternFill patternType="solid">
        <fgColor theme="0" tint="-0.249977111117893"/>
        <bgColor indexed="64"/>
      </patternFill>
    </fill>
    <fill>
      <patternFill patternType="solid">
        <fgColor rgb="FFCCFFCC"/>
        <bgColor indexed="64"/>
      </patternFill>
    </fill>
    <fill>
      <patternFill patternType="solid">
        <fgColor rgb="FF66FF33"/>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gradientFill>
        <stop position="0">
          <color theme="0"/>
        </stop>
        <stop position="1">
          <color rgb="FFEAEAEA"/>
        </stop>
      </gradientFill>
    </fill>
    <fill>
      <patternFill patternType="solid">
        <fgColor rgb="FFEAEAEA"/>
        <bgColor indexed="64"/>
      </patternFill>
    </fill>
    <fill>
      <patternFill patternType="solid">
        <fgColor theme="8" tint="0.59996337778862885"/>
        <bgColor indexed="64"/>
      </patternFill>
    </fill>
    <fill>
      <gradientFill degree="180">
        <stop position="0">
          <color theme="0"/>
        </stop>
        <stop position="1">
          <color theme="8" tint="0.59999389629810485"/>
        </stop>
      </gradientFill>
    </fill>
    <fill>
      <gradientFill degree="90">
        <stop position="0">
          <color theme="0"/>
        </stop>
        <stop position="1">
          <color theme="0" tint="-0.1490218817712943"/>
        </stop>
      </gradientFill>
    </fill>
    <fill>
      <patternFill patternType="solid">
        <fgColor theme="0" tint="-4.9989318521683403E-2"/>
        <bgColor indexed="64"/>
      </patternFill>
    </fill>
    <fill>
      <patternFill patternType="solid">
        <fgColor theme="0" tint="-0.14999847407452621"/>
        <bgColor indexed="64"/>
      </patternFill>
    </fill>
    <fill>
      <gradientFill degree="90">
        <stop position="0">
          <color theme="0"/>
        </stop>
        <stop position="1">
          <color theme="0" tint="-5.0965910824915313E-2"/>
        </stop>
      </gradientFill>
    </fill>
    <fill>
      <patternFill patternType="solid">
        <fgColor rgb="FFF2F2F2"/>
        <bgColor indexed="64"/>
      </patternFill>
    </fill>
    <fill>
      <gradientFill type="path" top="1" bottom="1">
        <stop position="0">
          <color theme="0" tint="-0.1490218817712943"/>
        </stop>
        <stop position="1">
          <color theme="0"/>
        </stop>
      </gradientFill>
    </fill>
    <fill>
      <gradientFill degree="90">
        <stop position="0">
          <color theme="0"/>
        </stop>
        <stop position="0.5">
          <color rgb="FFFFCC99"/>
        </stop>
        <stop position="1">
          <color theme="0"/>
        </stop>
      </gradientFill>
    </fill>
  </fills>
  <borders count="6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theme="8" tint="0.39994506668294322"/>
      </left>
      <right/>
      <top style="medium">
        <color theme="8" tint="0.39994506668294322"/>
      </top>
      <bottom/>
      <diagonal/>
    </border>
    <border>
      <left/>
      <right/>
      <top style="medium">
        <color theme="8" tint="0.39994506668294322"/>
      </top>
      <bottom/>
      <diagonal/>
    </border>
    <border>
      <left/>
      <right style="medium">
        <color theme="8" tint="-0.499984740745262"/>
      </right>
      <top style="medium">
        <color theme="8" tint="0.39994506668294322"/>
      </top>
      <bottom/>
      <diagonal/>
    </border>
    <border>
      <left style="medium">
        <color theme="8" tint="0.39994506668294322"/>
      </left>
      <right/>
      <top/>
      <bottom/>
      <diagonal/>
    </border>
    <border>
      <left/>
      <right/>
      <top/>
      <bottom style="medium">
        <color theme="8" tint="-0.499984740745262"/>
      </bottom>
      <diagonal/>
    </border>
    <border>
      <left/>
      <right style="medium">
        <color theme="8" tint="-0.499984740745262"/>
      </right>
      <top/>
      <bottom/>
      <diagonal/>
    </border>
    <border>
      <left style="medium">
        <color theme="8" tint="0.39994506668294322"/>
      </left>
      <right style="medium">
        <color theme="8" tint="-0.499984740745262"/>
      </right>
      <top/>
      <bottom/>
      <diagonal/>
    </border>
    <border>
      <left style="medium">
        <color theme="8" tint="0.39994506668294322"/>
      </left>
      <right/>
      <top/>
      <bottom style="medium">
        <color theme="8" tint="-0.499984740745262"/>
      </bottom>
      <diagonal/>
    </border>
    <border>
      <left/>
      <right style="medium">
        <color theme="8" tint="-0.499984740745262"/>
      </right>
      <top/>
      <bottom style="medium">
        <color theme="8" tint="-0.499984740745262"/>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medium">
        <color auto="1"/>
      </top>
      <bottom style="thin">
        <color auto="1"/>
      </bottom>
      <diagonal/>
    </border>
    <border>
      <left style="dotted">
        <color auto="1"/>
      </left>
      <right style="medium">
        <color auto="1"/>
      </right>
      <top/>
      <bottom style="medium">
        <color auto="1"/>
      </bottom>
      <diagonal/>
    </border>
    <border>
      <left/>
      <right/>
      <top style="thin">
        <color auto="1"/>
      </top>
      <bottom style="thin">
        <color auto="1"/>
      </bottom>
      <diagonal/>
    </border>
    <border>
      <left style="dotted">
        <color auto="1"/>
      </left>
      <right/>
      <top/>
      <bottom style="medium">
        <color auto="1"/>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top style="thin">
        <color theme="8" tint="-0.24994659260841701"/>
      </top>
      <bottom style="medium">
        <color theme="8" tint="-0.24994659260841701"/>
      </bottom>
      <diagonal/>
    </border>
    <border>
      <left/>
      <right/>
      <top/>
      <bottom style="medium">
        <color theme="8" tint="-0.24994659260841701"/>
      </bottom>
      <diagonal/>
    </border>
    <border>
      <left/>
      <right/>
      <top style="medium">
        <color theme="8" tint="-0.249946592608417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rgb="FF7F7F7F"/>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rgb="FF7F7F7F"/>
      </left>
      <right style="dashed">
        <color auto="1"/>
      </right>
      <top/>
      <bottom/>
      <diagonal/>
    </border>
    <border>
      <left style="thin">
        <color rgb="FF7F7F7F"/>
      </left>
      <right style="dashed">
        <color auto="1"/>
      </right>
      <top/>
      <bottom style="dashed">
        <color auto="1"/>
      </bottom>
      <diagonal/>
    </border>
    <border>
      <left style="thin">
        <color rgb="FF7F7F7F"/>
      </left>
      <right/>
      <top style="medium">
        <color auto="1"/>
      </top>
      <bottom/>
      <diagonal/>
    </border>
    <border>
      <left style="thin">
        <color rgb="FF7F7F7F"/>
      </left>
      <right/>
      <top/>
      <bottom/>
      <diagonal/>
    </border>
    <border>
      <left style="medium">
        <color auto="1"/>
      </left>
      <right style="thin">
        <color auto="1"/>
      </right>
      <top style="medium">
        <color auto="1"/>
      </top>
      <bottom style="thin">
        <color theme="0" tint="-0.34998626667073579"/>
      </bottom>
      <diagonal/>
    </border>
    <border>
      <left style="medium">
        <color auto="1"/>
      </left>
      <right style="thin">
        <color auto="1"/>
      </right>
      <top style="thin">
        <color theme="0" tint="-0.34998626667073579"/>
      </top>
      <bottom style="thin">
        <color theme="0" tint="-0.34998626667073579"/>
      </bottom>
      <diagonal/>
    </border>
    <border>
      <left style="medium">
        <color auto="1"/>
      </left>
      <right style="thin">
        <color auto="1"/>
      </right>
      <top style="thin">
        <color theme="0" tint="-0.34998626667073579"/>
      </top>
      <bottom style="medium">
        <color auto="1"/>
      </bottom>
      <diagonal/>
    </border>
    <border>
      <left/>
      <right/>
      <top style="thin">
        <color auto="1"/>
      </top>
      <bottom style="double">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medium">
        <color theme="0" tint="-0.24994659260841701"/>
      </bottom>
      <diagonal/>
    </border>
    <border>
      <left/>
      <right/>
      <top style="dotted">
        <color auto="1"/>
      </top>
      <bottom/>
      <diagonal/>
    </border>
    <border>
      <left style="thin">
        <color auto="1"/>
      </left>
      <right style="thin">
        <color rgb="FFF2F2F2"/>
      </right>
      <top style="thin">
        <color auto="1"/>
      </top>
      <bottom style="thin">
        <color rgb="FFF2F2F2"/>
      </bottom>
      <diagonal/>
    </border>
    <border>
      <left style="thin">
        <color rgb="FFF2F2F2"/>
      </left>
      <right style="thin">
        <color auto="1"/>
      </right>
      <top style="thin">
        <color auto="1"/>
      </top>
      <bottom style="thin">
        <color rgb="FFF2F2F2"/>
      </bottom>
      <diagonal/>
    </border>
    <border>
      <left style="thin">
        <color auto="1"/>
      </left>
      <right style="thin">
        <color rgb="FFF2F2F2"/>
      </right>
      <top style="thin">
        <color rgb="FFF2F2F2"/>
      </top>
      <bottom style="thin">
        <color auto="1"/>
      </bottom>
      <diagonal/>
    </border>
    <border>
      <left style="thin">
        <color rgb="FFF2F2F2"/>
      </left>
      <right style="thin">
        <color auto="1"/>
      </right>
      <top style="thin">
        <color rgb="FFF2F2F2"/>
      </top>
      <bottom style="thin">
        <color auto="1"/>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22" fillId="0" borderId="0"/>
  </cellStyleXfs>
  <cellXfs count="173">
    <xf numFmtId="0" fontId="0" fillId="0" borderId="0" xfId="0"/>
    <xf numFmtId="0" fontId="3" fillId="0" borderId="0" xfId="0" applyFont="1" applyAlignment="1">
      <alignment horizontal="left" indent="1"/>
    </xf>
    <xf numFmtId="0" fontId="0" fillId="0" borderId="0" xfId="0" applyAlignment="1">
      <alignment horizontal="left" indent="1"/>
    </xf>
    <xf numFmtId="0" fontId="0" fillId="0" borderId="0" xfId="0" applyAlignment="1">
      <alignment horizontal="left" vertical="center" indent="1"/>
    </xf>
    <xf numFmtId="0" fontId="3" fillId="0" borderId="0" xfId="0" applyFont="1" applyAlignment="1">
      <alignment horizontal="left" vertical="center" indent="1"/>
    </xf>
    <xf numFmtId="0" fontId="0" fillId="0" borderId="0" xfId="0" applyFill="1" applyBorder="1" applyAlignment="1">
      <alignment horizontal="left" vertical="center" indent="1"/>
    </xf>
    <xf numFmtId="0" fontId="1" fillId="2" borderId="1" xfId="1" applyAlignment="1">
      <alignment horizontal="center" vertical="center"/>
    </xf>
    <xf numFmtId="164" fontId="0" fillId="0" borderId="0" xfId="0" applyNumberFormat="1" applyAlignment="1">
      <alignment horizontal="right" vertical="center" indent="1"/>
    </xf>
    <xf numFmtId="0" fontId="0" fillId="0" borderId="0" xfId="0" applyAlignment="1">
      <alignment horizontal="left" vertical="center" indent="1" shrinkToFit="1"/>
    </xf>
    <xf numFmtId="0" fontId="0" fillId="4" borderId="0" xfId="0" applyFill="1"/>
    <xf numFmtId="0" fontId="0" fillId="0" borderId="0" xfId="0" applyAlignment="1">
      <alignment wrapText="1"/>
    </xf>
    <xf numFmtId="0" fontId="0" fillId="5" borderId="3" xfId="0" applyFill="1" applyBorder="1"/>
    <xf numFmtId="0" fontId="0" fillId="5" borderId="4" xfId="0" applyFill="1" applyBorder="1"/>
    <xf numFmtId="0" fontId="0" fillId="5" borderId="5" xfId="0" applyFill="1" applyBorder="1"/>
    <xf numFmtId="0" fontId="0" fillId="5" borderId="0" xfId="0" applyFill="1"/>
    <xf numFmtId="0" fontId="0" fillId="5" borderId="6" xfId="0" applyFill="1" applyBorder="1"/>
    <xf numFmtId="0" fontId="0" fillId="5" borderId="7" xfId="0" applyFill="1" applyBorder="1"/>
    <xf numFmtId="0" fontId="4" fillId="5" borderId="8" xfId="0" applyFont="1" applyFill="1" applyBorder="1" applyAlignment="1">
      <alignment horizontal="right" indent="6"/>
    </xf>
    <xf numFmtId="0" fontId="0" fillId="5" borderId="9" xfId="0" applyFill="1" applyBorder="1"/>
    <xf numFmtId="0" fontId="5" fillId="6" borderId="0" xfId="0" applyFont="1" applyFill="1" applyAlignment="1">
      <alignment horizontal="left" indent="1"/>
    </xf>
    <xf numFmtId="0" fontId="0" fillId="6" borderId="0" xfId="0" applyFill="1"/>
    <xf numFmtId="0" fontId="3" fillId="6" borderId="0" xfId="0" applyFont="1" applyFill="1" applyAlignment="1">
      <alignment horizontal="right" indent="1"/>
    </xf>
    <xf numFmtId="0" fontId="0" fillId="6" borderId="0" xfId="0" applyFill="1" applyAlignment="1">
      <alignment horizontal="left" indent="1"/>
    </xf>
    <xf numFmtId="0" fontId="0" fillId="6" borderId="0" xfId="0" applyFill="1" applyAlignment="1">
      <alignment horizontal="right" indent="1"/>
    </xf>
    <xf numFmtId="0" fontId="1" fillId="2" borderId="1" xfId="1" applyAlignment="1">
      <alignment horizontal="left" indent="1"/>
    </xf>
    <xf numFmtId="0" fontId="1" fillId="6" borderId="0" xfId="1" applyFill="1" applyBorder="1" applyAlignment="1">
      <alignment horizontal="left" indent="1"/>
    </xf>
    <xf numFmtId="0" fontId="1" fillId="7" borderId="1" xfId="1" applyFill="1" applyAlignment="1">
      <alignment horizontal="left" indent="1"/>
    </xf>
    <xf numFmtId="0" fontId="2" fillId="3" borderId="2" xfId="2" applyBorder="1" applyAlignment="1">
      <alignment horizontal="left" indent="1"/>
    </xf>
    <xf numFmtId="0" fontId="3" fillId="6" borderId="0" xfId="0" applyFont="1" applyFill="1" applyAlignment="1">
      <alignment horizontal="left" indent="1"/>
    </xf>
    <xf numFmtId="0" fontId="6" fillId="6" borderId="0" xfId="1" quotePrefix="1" applyFont="1" applyFill="1" applyBorder="1" applyAlignment="1">
      <alignment horizontal="left" indent="4"/>
    </xf>
    <xf numFmtId="0" fontId="1" fillId="6" borderId="0" xfId="1" quotePrefix="1" applyFill="1" applyBorder="1" applyAlignment="1">
      <alignment horizontal="left"/>
    </xf>
    <xf numFmtId="0" fontId="0" fillId="6" borderId="0" xfId="0" applyFont="1" applyFill="1" applyAlignment="1">
      <alignment horizontal="left" indent="1"/>
    </xf>
    <xf numFmtId="0" fontId="8" fillId="6" borderId="0" xfId="0" applyFont="1" applyFill="1" applyAlignment="1">
      <alignment horizontal="left" indent="1"/>
    </xf>
    <xf numFmtId="0" fontId="2" fillId="6" borderId="0" xfId="2" applyFill="1" applyBorder="1" applyAlignment="1">
      <alignment horizontal="left" indent="1"/>
    </xf>
    <xf numFmtId="0" fontId="0" fillId="5" borderId="8" xfId="0" applyFill="1" applyBorder="1"/>
    <xf numFmtId="0" fontId="0" fillId="5" borderId="10" xfId="0" applyFill="1" applyBorder="1"/>
    <xf numFmtId="0" fontId="0" fillId="5" borderId="11" xfId="0" applyFill="1" applyBorder="1"/>
    <xf numFmtId="165" fontId="2" fillId="3" borderId="2" xfId="2" applyNumberFormat="1" applyAlignment="1">
      <alignment horizontal="center" vertical="center"/>
    </xf>
    <xf numFmtId="165" fontId="9" fillId="0" borderId="0" xfId="0" applyNumberFormat="1" applyFont="1" applyAlignment="1">
      <alignment horizontal="left" vertical="top" indent="1"/>
    </xf>
    <xf numFmtId="0" fontId="10" fillId="0" borderId="0" xfId="0" applyFont="1" applyAlignment="1">
      <alignment horizontal="left" indent="1"/>
    </xf>
    <xf numFmtId="0" fontId="0" fillId="0" borderId="0" xfId="0" applyAlignment="1">
      <alignment horizontal="left" vertical="center" wrapText="1" indent="1"/>
    </xf>
    <xf numFmtId="166" fontId="9" fillId="0" borderId="0" xfId="0" applyNumberFormat="1" applyFont="1" applyAlignment="1">
      <alignment horizontal="center" vertical="center" wrapText="1"/>
    </xf>
    <xf numFmtId="0" fontId="11" fillId="0" borderId="0" xfId="0" applyFont="1" applyAlignment="1">
      <alignment horizontal="left" indent="1"/>
    </xf>
    <xf numFmtId="0" fontId="15" fillId="0" borderId="0" xfId="0" applyFont="1" applyAlignment="1">
      <alignment horizontal="left" indent="1"/>
    </xf>
    <xf numFmtId="0" fontId="0" fillId="8" borderId="0" xfId="0" applyFill="1"/>
    <xf numFmtId="0" fontId="3" fillId="0" borderId="0" xfId="0" applyFont="1" applyAlignment="1">
      <alignment horizontal="center" vertical="center"/>
    </xf>
    <xf numFmtId="0" fontId="0" fillId="0" borderId="12" xfId="0" applyBorder="1" applyAlignment="1">
      <alignment horizontal="center" shrinkToFit="1"/>
    </xf>
    <xf numFmtId="0" fontId="16" fillId="9" borderId="13" xfId="0" applyFont="1" applyFill="1" applyBorder="1" applyAlignment="1">
      <alignment horizontal="right" indent="1" shrinkToFit="1"/>
    </xf>
    <xf numFmtId="0" fontId="0" fillId="10" borderId="13" xfId="0" applyFill="1" applyBorder="1" applyAlignment="1">
      <alignment horizontal="right" indent="1" shrinkToFit="1"/>
    </xf>
    <xf numFmtId="0" fontId="0" fillId="11" borderId="13" xfId="0" applyFill="1" applyBorder="1" applyAlignment="1">
      <alignment horizontal="right" indent="1" shrinkToFit="1"/>
    </xf>
    <xf numFmtId="0" fontId="0" fillId="12" borderId="13" xfId="0" applyFill="1" applyBorder="1" applyAlignment="1">
      <alignment horizontal="right" indent="1" shrinkToFit="1"/>
    </xf>
    <xf numFmtId="0" fontId="0" fillId="13" borderId="13" xfId="0" applyFill="1" applyBorder="1" applyAlignment="1">
      <alignment horizontal="right" indent="1" shrinkToFit="1"/>
    </xf>
    <xf numFmtId="0" fontId="0" fillId="0" borderId="0" xfId="0" applyAlignment="1">
      <alignment horizontal="center" vertical="center"/>
    </xf>
    <xf numFmtId="167" fontId="0" fillId="0" borderId="0" xfId="0" applyNumberFormat="1" applyAlignment="1">
      <alignment horizontal="right" vertical="center" indent="1" shrinkToFit="1"/>
    </xf>
    <xf numFmtId="0" fontId="0" fillId="0" borderId="0" xfId="0" applyAlignment="1">
      <alignment horizontal="center" vertical="center" shrinkToFit="1"/>
    </xf>
    <xf numFmtId="168" fontId="0" fillId="0" borderId="0" xfId="0" applyNumberFormat="1" applyAlignment="1">
      <alignment horizontal="right" vertical="center" indent="1" shrinkToFit="1"/>
    </xf>
    <xf numFmtId="0" fontId="11" fillId="0" borderId="0" xfId="0" applyFont="1" applyAlignment="1">
      <alignment horizontal="center" vertical="center"/>
    </xf>
    <xf numFmtId="0" fontId="0" fillId="11" borderId="14" xfId="0" applyFill="1" applyBorder="1" applyAlignment="1">
      <alignment horizontal="center" vertical="center" wrapText="1"/>
    </xf>
    <xf numFmtId="0" fontId="0" fillId="12" borderId="14" xfId="0" applyFill="1" applyBorder="1" applyAlignment="1">
      <alignment horizontal="center" vertical="center" wrapText="1"/>
    </xf>
    <xf numFmtId="0" fontId="0" fillId="13" borderId="14" xfId="0" applyFill="1" applyBorder="1" applyAlignment="1">
      <alignment horizontal="center" vertical="center" wrapText="1"/>
    </xf>
    <xf numFmtId="0" fontId="14" fillId="13" borderId="14" xfId="0" applyFont="1" applyFill="1" applyBorder="1" applyAlignment="1">
      <alignment horizontal="center" vertical="center" wrapText="1"/>
    </xf>
    <xf numFmtId="3" fontId="0" fillId="0" borderId="0" xfId="0" applyNumberFormat="1" applyAlignment="1">
      <alignment horizontal="center" vertical="center" shrinkToFit="1"/>
    </xf>
    <xf numFmtId="0" fontId="0" fillId="0" borderId="0" xfId="0" applyNumberFormat="1" applyAlignment="1">
      <alignment horizontal="center" vertical="center" shrinkToFit="1"/>
    </xf>
    <xf numFmtId="169" fontId="0" fillId="0" borderId="0" xfId="0" applyNumberFormat="1" applyAlignment="1">
      <alignment horizontal="center" vertical="center" shrinkToFit="1"/>
    </xf>
    <xf numFmtId="0" fontId="0" fillId="10" borderId="14" xfId="0" applyFill="1" applyBorder="1" applyAlignment="1">
      <alignment horizontal="center" vertical="center" wrapText="1"/>
    </xf>
    <xf numFmtId="2" fontId="0" fillId="0" borderId="0" xfId="0" applyNumberFormat="1" applyAlignment="1">
      <alignment horizontal="center" vertical="center" shrinkToFit="1"/>
    </xf>
    <xf numFmtId="0" fontId="0" fillId="9" borderId="14" xfId="0" applyFill="1" applyBorder="1" applyAlignment="1">
      <alignment horizontal="center" vertical="center" wrapText="1"/>
    </xf>
    <xf numFmtId="0" fontId="0" fillId="6" borderId="15" xfId="0" applyFill="1" applyBorder="1"/>
    <xf numFmtId="0" fontId="11" fillId="6" borderId="15" xfId="0" applyFont="1" applyFill="1" applyBorder="1" applyAlignment="1">
      <alignment horizontal="center" vertical="center"/>
    </xf>
    <xf numFmtId="0" fontId="3" fillId="0" borderId="12" xfId="0" applyFont="1" applyBorder="1" applyAlignment="1">
      <alignment horizontal="left" indent="1"/>
    </xf>
    <xf numFmtId="0" fontId="0" fillId="0" borderId="12" xfId="0" applyBorder="1" applyAlignment="1">
      <alignment horizontal="left" indent="1"/>
    </xf>
    <xf numFmtId="0" fontId="0" fillId="0" borderId="12" xfId="0" applyBorder="1" applyAlignment="1">
      <alignment horizontal="left" wrapText="1" indent="1"/>
    </xf>
    <xf numFmtId="0" fontId="0" fillId="6" borderId="16" xfId="0" applyFill="1" applyBorder="1"/>
    <xf numFmtId="0" fontId="0" fillId="0" borderId="20" xfId="0" applyBorder="1" applyAlignment="1">
      <alignment horizontal="left" vertical="center" wrapText="1" indent="1"/>
    </xf>
    <xf numFmtId="0" fontId="0" fillId="0" borderId="20" xfId="0" applyBorder="1" applyAlignment="1">
      <alignment horizontal="left" vertical="center" wrapText="1"/>
    </xf>
    <xf numFmtId="170" fontId="0" fillId="0" borderId="20" xfId="0" applyNumberFormat="1" applyBorder="1" applyAlignment="1">
      <alignment horizontal="left" vertical="center" indent="1" shrinkToFit="1"/>
    </xf>
    <xf numFmtId="0" fontId="11" fillId="6" borderId="12" xfId="0" applyFont="1" applyFill="1" applyBorder="1" applyAlignment="1">
      <alignment horizontal="center" vertical="center"/>
    </xf>
    <xf numFmtId="0" fontId="0" fillId="14" borderId="21" xfId="0" applyFill="1" applyBorder="1" applyAlignment="1">
      <alignment horizontal="center" vertical="center"/>
    </xf>
    <xf numFmtId="0" fontId="0" fillId="0" borderId="22" xfId="0" applyBorder="1" applyAlignment="1">
      <alignment horizontal="left" vertical="center" wrapText="1" indent="1"/>
    </xf>
    <xf numFmtId="0" fontId="0" fillId="0" borderId="22" xfId="0" applyBorder="1" applyAlignment="1">
      <alignment horizontal="left" vertical="center" wrapText="1"/>
    </xf>
    <xf numFmtId="170" fontId="0" fillId="0" borderId="22" xfId="0" applyNumberFormat="1" applyBorder="1" applyAlignment="1">
      <alignment horizontal="left" vertical="center" indent="1" shrinkToFit="1"/>
    </xf>
    <xf numFmtId="0" fontId="0" fillId="14" borderId="23" xfId="0" applyFill="1" applyBorder="1" applyAlignment="1">
      <alignment horizontal="center" vertical="center"/>
    </xf>
    <xf numFmtId="0" fontId="0" fillId="0" borderId="22" xfId="0" applyFill="1" applyBorder="1" applyAlignment="1">
      <alignment horizontal="left" vertical="center" wrapText="1" indent="1"/>
    </xf>
    <xf numFmtId="0" fontId="0" fillId="6" borderId="12" xfId="0" applyFill="1" applyBorder="1"/>
    <xf numFmtId="171" fontId="0" fillId="0" borderId="22" xfId="0" applyNumberFormat="1" applyBorder="1" applyAlignment="1">
      <alignment horizontal="left" vertical="center" indent="1" shrinkToFit="1"/>
    </xf>
    <xf numFmtId="0" fontId="15" fillId="14" borderId="23" xfId="0" applyFont="1" applyFill="1" applyBorder="1" applyAlignment="1">
      <alignment horizontal="center" vertical="center"/>
    </xf>
    <xf numFmtId="0" fontId="0" fillId="14" borderId="24" xfId="0" applyFill="1" applyBorder="1"/>
    <xf numFmtId="0" fontId="0" fillId="14" borderId="25" xfId="0" applyFill="1" applyBorder="1" applyAlignment="1">
      <alignment horizontal="left" vertical="center" indent="1"/>
    </xf>
    <xf numFmtId="0" fontId="0" fillId="15" borderId="26" xfId="0" applyFill="1" applyBorder="1" applyAlignment="1">
      <alignment horizontal="left" vertical="center" indent="1"/>
    </xf>
    <xf numFmtId="0" fontId="20" fillId="16" borderId="27" xfId="0" applyFont="1" applyFill="1" applyBorder="1" applyAlignment="1">
      <alignment horizontal="left" vertical="center" indent="1"/>
    </xf>
    <xf numFmtId="0" fontId="21" fillId="16" borderId="27" xfId="0" applyFont="1" applyFill="1" applyBorder="1" applyAlignment="1">
      <alignment horizontal="left" vertical="center" indent="1"/>
    </xf>
    <xf numFmtId="0" fontId="21" fillId="17" borderId="28" xfId="0" applyFont="1" applyFill="1" applyBorder="1" applyAlignment="1">
      <alignment horizontal="left" vertical="center" indent="1"/>
    </xf>
    <xf numFmtId="0" fontId="9" fillId="0" borderId="0" xfId="0" applyFont="1" applyAlignment="1">
      <alignment horizontal="left" indent="1"/>
    </xf>
    <xf numFmtId="0" fontId="0" fillId="0" borderId="0" xfId="0" applyAlignment="1">
      <alignment horizontal="right" indent="1"/>
    </xf>
    <xf numFmtId="0" fontId="0" fillId="0" borderId="0" xfId="0" applyAlignment="1">
      <alignment horizontal="right" vertical="center" indent="1"/>
    </xf>
    <xf numFmtId="0" fontId="3" fillId="18" borderId="0" xfId="0" applyFont="1" applyFill="1" applyAlignment="1">
      <alignment horizontal="left" indent="1"/>
    </xf>
    <xf numFmtId="0" fontId="0" fillId="18" borderId="0" xfId="0" applyFill="1"/>
    <xf numFmtId="0" fontId="18" fillId="0" borderId="0" xfId="0" applyFont="1" applyAlignment="1">
      <alignment horizontal="center" vertical="center"/>
    </xf>
    <xf numFmtId="0" fontId="22" fillId="0" borderId="33" xfId="3" applyBorder="1" applyAlignment="1">
      <alignment horizontal="centerContinuous"/>
    </xf>
    <xf numFmtId="0" fontId="22" fillId="0" borderId="34" xfId="3" applyBorder="1" applyAlignment="1">
      <alignment horizontal="centerContinuous"/>
    </xf>
    <xf numFmtId="0" fontId="3" fillId="0" borderId="32" xfId="3" applyFont="1" applyBorder="1" applyAlignment="1">
      <alignment horizontal="centerContinuous"/>
    </xf>
    <xf numFmtId="0" fontId="0" fillId="20" borderId="0" xfId="0" applyFill="1"/>
    <xf numFmtId="0" fontId="0" fillId="6" borderId="45" xfId="0" applyFill="1" applyBorder="1"/>
    <xf numFmtId="0" fontId="0" fillId="6" borderId="46" xfId="0" applyFill="1" applyBorder="1"/>
    <xf numFmtId="0" fontId="0" fillId="6" borderId="43" xfId="0" applyFill="1" applyBorder="1"/>
    <xf numFmtId="0" fontId="0" fillId="6" borderId="44" xfId="0" applyFill="1" applyBorder="1"/>
    <xf numFmtId="174" fontId="0" fillId="19" borderId="40" xfId="0" applyNumberFormat="1" applyFill="1" applyBorder="1" applyAlignment="1">
      <alignment horizontal="right" indent="1" shrinkToFit="1"/>
    </xf>
    <xf numFmtId="0" fontId="18" fillId="19" borderId="22" xfId="0" applyFont="1" applyFill="1" applyBorder="1"/>
    <xf numFmtId="0" fontId="22" fillId="19" borderId="47" xfId="3" applyFill="1" applyBorder="1" applyAlignment="1">
      <alignment horizontal="center" vertical="center"/>
    </xf>
    <xf numFmtId="0" fontId="22" fillId="19" borderId="48" xfId="3" applyFill="1" applyBorder="1" applyAlignment="1">
      <alignment horizontal="center" vertical="center"/>
    </xf>
    <xf numFmtId="0" fontId="22" fillId="19" borderId="49" xfId="3" applyFill="1" applyBorder="1" applyAlignment="1">
      <alignment horizontal="center" vertical="center"/>
    </xf>
    <xf numFmtId="0" fontId="0" fillId="18" borderId="50" xfId="0" applyFill="1" applyBorder="1"/>
    <xf numFmtId="0" fontId="3" fillId="18" borderId="50" xfId="0" applyFont="1" applyFill="1" applyBorder="1" applyAlignment="1">
      <alignment horizontal="left" indent="1"/>
    </xf>
    <xf numFmtId="0" fontId="0" fillId="21" borderId="50" xfId="0" applyFill="1" applyBorder="1"/>
    <xf numFmtId="9" fontId="22" fillId="0" borderId="38" xfId="3" applyNumberFormat="1" applyBorder="1" applyAlignment="1">
      <alignment horizontal="right" indent="1"/>
    </xf>
    <xf numFmtId="9" fontId="22" fillId="0" borderId="36" xfId="3" applyNumberFormat="1" applyBorder="1" applyAlignment="1">
      <alignment horizontal="right" indent="1"/>
    </xf>
    <xf numFmtId="9" fontId="22" fillId="0" borderId="39" xfId="3" applyNumberFormat="1" applyBorder="1" applyAlignment="1">
      <alignment horizontal="right" indent="1"/>
    </xf>
    <xf numFmtId="0" fontId="22" fillId="0" borderId="37" xfId="3" applyBorder="1" applyAlignment="1">
      <alignment horizontal="right" indent="1"/>
    </xf>
    <xf numFmtId="0" fontId="0" fillId="0" borderId="51" xfId="0" applyBorder="1" applyAlignment="1">
      <alignment horizontal="left" indent="1"/>
    </xf>
    <xf numFmtId="0" fontId="0" fillId="0" borderId="52" xfId="0" applyBorder="1"/>
    <xf numFmtId="0" fontId="0" fillId="0" borderId="53" xfId="0" applyBorder="1"/>
    <xf numFmtId="0" fontId="0" fillId="0" borderId="51" xfId="0" applyBorder="1" applyAlignment="1">
      <alignment horizontal="left" indent="3"/>
    </xf>
    <xf numFmtId="0" fontId="3" fillId="0" borderId="54" xfId="0" applyFont="1" applyBorder="1" applyAlignment="1">
      <alignment horizontal="left" indent="1"/>
    </xf>
    <xf numFmtId="0" fontId="0" fillId="6" borderId="0" xfId="0" quotePrefix="1" applyFill="1" applyAlignment="1">
      <alignment horizontal="left" indent="1"/>
    </xf>
    <xf numFmtId="0" fontId="0" fillId="0" borderId="0" xfId="0" applyAlignment="1">
      <alignment horizontal="right"/>
    </xf>
    <xf numFmtId="175" fontId="0" fillId="0" borderId="0" xfId="0" applyNumberFormat="1" applyAlignment="1">
      <alignment horizontal="left" vertical="center" indent="1"/>
    </xf>
    <xf numFmtId="176" fontId="0" fillId="0" borderId="0" xfId="0" applyNumberFormat="1" applyAlignment="1">
      <alignment horizontal="left" vertical="center" indent="1"/>
    </xf>
    <xf numFmtId="0" fontId="0" fillId="0" borderId="0" xfId="0" applyAlignment="1">
      <alignment horizontal="right" indent="1" shrinkToFit="1"/>
    </xf>
    <xf numFmtId="182" fontId="0" fillId="19" borderId="41" xfId="0" applyNumberFormat="1" applyFill="1" applyBorder="1" applyAlignment="1">
      <alignment horizontal="right" indent="1" shrinkToFit="1"/>
    </xf>
    <xf numFmtId="0" fontId="0" fillId="20" borderId="0" xfId="0" applyFill="1" applyAlignment="1">
      <alignment horizontal="right" vertical="center"/>
    </xf>
    <xf numFmtId="164" fontId="0" fillId="0" borderId="55" xfId="0" applyNumberFormat="1" applyBorder="1" applyAlignment="1">
      <alignment horizontal="right" vertical="center" indent="1"/>
    </xf>
    <xf numFmtId="0" fontId="0" fillId="0" borderId="55" xfId="0" applyBorder="1" applyAlignment="1">
      <alignment horizontal="left" vertical="center" indent="1" shrinkToFit="1"/>
    </xf>
    <xf numFmtId="0" fontId="3" fillId="0" borderId="55" xfId="0" applyFont="1" applyBorder="1" applyAlignment="1">
      <alignment horizontal="right" indent="1" shrinkToFit="1"/>
    </xf>
    <xf numFmtId="0" fontId="3" fillId="0" borderId="37" xfId="3" applyFont="1" applyBorder="1" applyAlignment="1">
      <alignment horizontal="center" vertical="center" shrinkToFit="1"/>
    </xf>
    <xf numFmtId="0" fontId="3" fillId="0" borderId="36" xfId="3" applyFont="1" applyBorder="1"/>
    <xf numFmtId="0" fontId="3" fillId="0" borderId="35" xfId="3" applyFont="1" applyBorder="1" applyAlignment="1">
      <alignment horizontal="right"/>
    </xf>
    <xf numFmtId="177" fontId="1" fillId="2" borderId="1" xfId="1" applyNumberFormat="1" applyAlignment="1">
      <alignment horizontal="center" vertical="center" shrinkToFit="1"/>
    </xf>
    <xf numFmtId="177" fontId="0" fillId="22" borderId="31" xfId="0" applyNumberFormat="1" applyFill="1" applyBorder="1" applyAlignment="1">
      <alignment horizontal="center" vertical="center" shrinkToFit="1"/>
    </xf>
    <xf numFmtId="181" fontId="3" fillId="22" borderId="42" xfId="0" applyNumberFormat="1" applyFont="1" applyFill="1" applyBorder="1" applyAlignment="1">
      <alignment horizontal="center" shrinkToFit="1"/>
    </xf>
    <xf numFmtId="183" fontId="3" fillId="22" borderId="42" xfId="0" applyNumberFormat="1" applyFont="1" applyFill="1" applyBorder="1" applyAlignment="1">
      <alignment horizontal="center" vertical="center" shrinkToFit="1"/>
    </xf>
    <xf numFmtId="0" fontId="3" fillId="22" borderId="30" xfId="0" applyFont="1" applyFill="1" applyBorder="1" applyAlignment="1">
      <alignment horizontal="left" vertical="center" indent="1" shrinkToFit="1"/>
    </xf>
    <xf numFmtId="178" fontId="0" fillId="22" borderId="56" xfId="0" applyNumberFormat="1" applyFill="1" applyBorder="1" applyAlignment="1">
      <alignment horizontal="right" indent="1"/>
    </xf>
    <xf numFmtId="0" fontId="0" fillId="22" borderId="57" xfId="0" applyFill="1" applyBorder="1"/>
    <xf numFmtId="179" fontId="0" fillId="22" borderId="58" xfId="0" applyNumberFormat="1" applyFill="1" applyBorder="1" applyAlignment="1">
      <alignment horizontal="right" indent="1"/>
    </xf>
    <xf numFmtId="180" fontId="0" fillId="22" borderId="59" xfId="0" applyNumberFormat="1" applyFill="1" applyBorder="1" applyAlignment="1">
      <alignment horizontal="left" shrinkToFit="1"/>
    </xf>
    <xf numFmtId="173" fontId="0" fillId="22" borderId="56" xfId="0" applyNumberFormat="1" applyFill="1" applyBorder="1" applyAlignment="1">
      <alignment horizontal="center" shrinkToFit="1"/>
    </xf>
    <xf numFmtId="177" fontId="0" fillId="22" borderId="57" xfId="0" applyNumberFormat="1" applyFill="1" applyBorder="1" applyAlignment="1">
      <alignment horizontal="center" vertical="center" shrinkToFit="1"/>
    </xf>
    <xf numFmtId="172" fontId="0" fillId="22" borderId="58" xfId="0" applyNumberFormat="1" applyFill="1" applyBorder="1" applyAlignment="1">
      <alignment horizontal="center" shrinkToFit="1"/>
    </xf>
    <xf numFmtId="177" fontId="0" fillId="22" borderId="59" xfId="0" applyNumberFormat="1" applyFill="1" applyBorder="1" applyAlignment="1">
      <alignment horizontal="center" vertical="center" shrinkToFit="1"/>
    </xf>
    <xf numFmtId="184" fontId="1" fillId="2" borderId="1" xfId="1" applyNumberFormat="1" applyAlignment="1">
      <alignment horizontal="center"/>
    </xf>
    <xf numFmtId="185" fontId="1" fillId="2" borderId="1" xfId="1" applyNumberFormat="1" applyAlignment="1">
      <alignment horizontal="center" vertical="center"/>
    </xf>
    <xf numFmtId="0" fontId="3" fillId="18" borderId="0" xfId="0" applyFont="1" applyFill="1" applyBorder="1" applyAlignment="1">
      <alignment horizontal="left" vertical="center" wrapText="1" indent="1"/>
    </xf>
    <xf numFmtId="0" fontId="0" fillId="23" borderId="0" xfId="0" applyFill="1"/>
    <xf numFmtId="0" fontId="1" fillId="24" borderId="1" xfId="1" applyFill="1" applyAlignment="1">
      <alignment horizontal="left" indent="1"/>
    </xf>
    <xf numFmtId="0" fontId="1" fillId="2" borderId="1" xfId="1" applyAlignment="1">
      <alignment horizontal="left" vertical="top" wrapText="1" indent="1"/>
    </xf>
    <xf numFmtId="0" fontId="0" fillId="0" borderId="0" xfId="0" applyAlignment="1">
      <alignment horizontal="center" vertical="center" shrinkToFit="1"/>
    </xf>
    <xf numFmtId="0" fontId="11" fillId="0" borderId="0" xfId="0" applyFont="1" applyAlignment="1">
      <alignment horizontal="center" vertical="center" wrapText="1"/>
    </xf>
    <xf numFmtId="0" fontId="1" fillId="24" borderId="1" xfId="1" applyFill="1" applyAlignment="1">
      <alignment horizontal="left" vertical="center" wrapText="1" indent="1"/>
    </xf>
    <xf numFmtId="0" fontId="21" fillId="0" borderId="29" xfId="0" applyFont="1" applyBorder="1" applyAlignment="1">
      <alignment horizontal="left" vertical="top" wrapText="1" indent="1"/>
    </xf>
    <xf numFmtId="0" fontId="3" fillId="0" borderId="0" xfId="0" applyFont="1" applyAlignment="1">
      <alignment horizontal="center" vertical="center" textRotation="90" wrapText="1"/>
    </xf>
    <xf numFmtId="0" fontId="1" fillId="24" borderId="60" xfId="1" applyFill="1" applyBorder="1" applyAlignment="1">
      <alignment horizontal="left" wrapText="1" indent="1"/>
    </xf>
    <xf numFmtId="0" fontId="0" fillId="24" borderId="61" xfId="0" applyFill="1" applyBorder="1" applyAlignment="1">
      <alignment horizontal="left" wrapText="1" indent="1"/>
    </xf>
    <xf numFmtId="0" fontId="0" fillId="24" borderId="62" xfId="0" applyFill="1" applyBorder="1" applyAlignment="1">
      <alignment horizontal="left" wrapText="1" indent="1"/>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0" fillId="9" borderId="0" xfId="0" applyFill="1" applyBorder="1" applyAlignment="1">
      <alignment horizontal="center" vertical="center" wrapText="1"/>
    </xf>
    <xf numFmtId="0" fontId="0" fillId="0" borderId="0" xfId="0" applyBorder="1" applyAlignment="1">
      <alignment wrapText="1"/>
    </xf>
    <xf numFmtId="0" fontId="0" fillId="10" borderId="0" xfId="0" applyFill="1" applyBorder="1" applyAlignment="1">
      <alignment horizontal="center" vertical="center" wrapText="1"/>
    </xf>
    <xf numFmtId="0" fontId="0" fillId="11" borderId="0" xfId="0" applyFill="1" applyBorder="1" applyAlignment="1">
      <alignment horizontal="center" vertical="center" wrapText="1"/>
    </xf>
    <xf numFmtId="0" fontId="4" fillId="12" borderId="0" xfId="0" applyFont="1" applyFill="1" applyBorder="1" applyAlignment="1">
      <alignment horizontal="center" vertical="center" wrapText="1"/>
    </xf>
    <xf numFmtId="0" fontId="4" fillId="0" borderId="0" xfId="0" applyFont="1" applyBorder="1" applyAlignment="1">
      <alignment wrapText="1"/>
    </xf>
    <xf numFmtId="0" fontId="4" fillId="13" borderId="0" xfId="0" applyFont="1" applyFill="1" applyBorder="1" applyAlignment="1">
      <alignment horizontal="center" vertical="center" wrapText="1"/>
    </xf>
  </cellXfs>
  <cellStyles count="4">
    <cellStyle name="Input" xfId="1" builtinId="20"/>
    <cellStyle name="Normal" xfId="0" builtinId="0"/>
    <cellStyle name="Normal 4" xfId="3"/>
    <cellStyle name="Output" xfId="2" builtinId="21"/>
  </cellStyles>
  <dxfs count="15">
    <dxf>
      <fill>
        <patternFill>
          <bgColor rgb="FFCCFFCC"/>
        </patternFill>
      </fill>
    </dxf>
    <dxf>
      <fill>
        <patternFill>
          <bgColor rgb="FF66FF66"/>
        </patternFill>
      </fill>
    </dxf>
    <dxf>
      <fill>
        <patternFill>
          <bgColor rgb="FFFFFF00"/>
        </patternFill>
      </fill>
    </dxf>
    <dxf>
      <fill>
        <patternFill>
          <bgColor rgb="FFFF0000"/>
        </patternFill>
      </fill>
    </dxf>
    <dxf>
      <font>
        <b/>
        <i val="0"/>
        <color theme="0"/>
      </font>
      <fill>
        <patternFill>
          <bgColor rgb="FFC00000"/>
        </patternFill>
      </fill>
    </dxf>
    <dxf>
      <fill>
        <patternFill>
          <bgColor rgb="FFCCFFCC"/>
        </patternFill>
      </fill>
    </dxf>
    <dxf>
      <fill>
        <patternFill>
          <bgColor rgb="FF66FF66"/>
        </patternFill>
      </fill>
    </dxf>
    <dxf>
      <fill>
        <patternFill>
          <bgColor rgb="FFFFFF00"/>
        </patternFill>
      </fill>
    </dxf>
    <dxf>
      <fill>
        <patternFill>
          <bgColor rgb="FFFF0000"/>
        </patternFill>
      </fill>
    </dxf>
    <dxf>
      <font>
        <b/>
        <i val="0"/>
        <color theme="0"/>
      </font>
      <fill>
        <patternFill>
          <bgColor rgb="FFC00000"/>
        </patternFill>
      </fill>
    </dxf>
    <dxf>
      <fill>
        <patternFill>
          <bgColor rgb="FFCCFFCC"/>
        </patternFill>
      </fill>
    </dxf>
    <dxf>
      <fill>
        <patternFill>
          <bgColor rgb="FF66FF66"/>
        </patternFill>
      </fill>
    </dxf>
    <dxf>
      <fill>
        <patternFill>
          <bgColor rgb="FFFFFF00"/>
        </patternFill>
      </fill>
    </dxf>
    <dxf>
      <fill>
        <patternFill>
          <bgColor rgb="FFFF0000"/>
        </patternFill>
      </fill>
    </dxf>
    <dxf>
      <font>
        <b/>
        <i val="0"/>
        <color theme="0"/>
      </font>
      <fill>
        <patternFill patternType="solid">
          <fgColor auto="1"/>
          <bgColor rgb="FFC00000"/>
        </patternFill>
      </fill>
    </dxf>
  </dxfs>
  <tableStyles count="0" defaultTableStyle="TableStyleMedium2" defaultPivotStyle="PivotStyleLight16"/>
  <colors>
    <mruColors>
      <color rgb="FFFFCC99"/>
      <color rgb="FFE8E8E8"/>
      <color rgb="FFE6E6E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nl-NL" sz="1600" b="1"/>
              <a:t>Level 1 assessment:</a:t>
            </a:r>
            <a:r>
              <a:rPr lang="nl-NL" sz="1600" b="1" baseline="0"/>
              <a:t> tooling.</a:t>
            </a:r>
            <a:endParaRPr lang="nl-NL" sz="1600" b="1"/>
          </a:p>
        </c:rich>
      </c:tx>
      <c:layout>
        <c:manualLayout>
          <c:xMode val="edge"/>
          <c:yMode val="edge"/>
          <c:x val="0.19234702164471593"/>
          <c:y val="1.2270529221096647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0.25846592045949418"/>
          <c:y val="0.31766592213222639"/>
          <c:w val="0.46006967738898114"/>
          <c:h val="0.58794004617617646"/>
        </c:manualLayout>
      </c:layout>
      <c:radarChart>
        <c:radarStyle val="marker"/>
        <c:varyColors val="0"/>
        <c:ser>
          <c:idx val="0"/>
          <c:order val="0"/>
          <c:spPr>
            <a:ln w="28575" cap="rnd">
              <a:solidFill>
                <a:schemeClr val="accent1"/>
              </a:solidFill>
              <a:round/>
            </a:ln>
            <a:effectLst/>
          </c:spPr>
          <c:marker>
            <c:symbol val="none"/>
          </c:marker>
          <c:cat>
            <c:strRef>
              <c:f>('Gap-analysis'!$B$4,'Gap-analysis'!$B$9,'Gap-analysis'!$B$13,'Gap-analysis'!$B$20,'Gap-analysis'!$B$27,'Gap-analysis'!$B$35)</c:f>
              <c:strCache>
                <c:ptCount val="6"/>
                <c:pt idx="0">
                  <c:v>Management framework: (focused on improvement cycle with evaluation, etc.)</c:v>
                </c:pt>
                <c:pt idx="1">
                  <c:v>Risk assessment:</c:v>
                </c:pt>
                <c:pt idx="2">
                  <c:v>Corrosion speed:</c:v>
                </c:pt>
                <c:pt idx="3">
                  <c:v>Service life of coating:</c:v>
                </c:pt>
                <c:pt idx="4">
                  <c:v>NDT Effectiveness:</c:v>
                </c:pt>
                <c:pt idx="5">
                  <c:v>NDT Efficiency:</c:v>
                </c:pt>
              </c:strCache>
            </c:strRef>
          </c:cat>
          <c:val>
            <c:numRef>
              <c:f>('Gap-analysis'!$D$4,'Gap-analysis'!$D$9,'Gap-analysis'!$D$13,'Gap-analysis'!$D$20,'Gap-analysis'!$D$27,'Gap-analysis'!$D$35)</c:f>
              <c:numCache>
                <c:formatCode>0.0</c:formatCode>
                <c:ptCount val="6"/>
                <c:pt idx="0">
                  <c:v>6.25</c:v>
                </c:pt>
                <c:pt idx="1">
                  <c:v>3.3333333333333335</c:v>
                </c:pt>
                <c:pt idx="2">
                  <c:v>4.166666666666667</c:v>
                </c:pt>
                <c:pt idx="3">
                  <c:v>1.6666666666666667</c:v>
                </c:pt>
                <c:pt idx="4">
                  <c:v>4.2857142857142856</c:v>
                </c:pt>
                <c:pt idx="5">
                  <c:v>5</c:v>
                </c:pt>
              </c:numCache>
            </c:numRef>
          </c:val>
          <c:extLst>
            <c:ext xmlns:c16="http://schemas.microsoft.com/office/drawing/2014/chart" uri="{C3380CC4-5D6E-409C-BE32-E72D297353CC}">
              <c16:uniqueId val="{00000000-3D87-4438-99FE-8709642C618F}"/>
            </c:ext>
          </c:extLst>
        </c:ser>
        <c:dLbls>
          <c:showLegendKey val="0"/>
          <c:showVal val="0"/>
          <c:showCatName val="0"/>
          <c:showSerName val="0"/>
          <c:showPercent val="0"/>
          <c:showBubbleSize val="0"/>
        </c:dLbls>
        <c:axId val="463215520"/>
        <c:axId val="463213224"/>
      </c:radarChart>
      <c:catAx>
        <c:axId val="46321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3213224"/>
        <c:crosses val="autoZero"/>
        <c:auto val="1"/>
        <c:lblAlgn val="ctr"/>
        <c:lblOffset val="100"/>
        <c:noMultiLvlLbl val="0"/>
      </c:catAx>
      <c:valAx>
        <c:axId val="46321322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3215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nl-NL" sz="1600" b="1"/>
              <a:t>Level 2 assessment:</a:t>
            </a:r>
            <a:r>
              <a:rPr lang="nl-NL" sz="1600" b="1" baseline="0"/>
              <a:t> HLS conformity</a:t>
            </a:r>
            <a:endParaRPr lang="nl-NL" sz="1600" b="1"/>
          </a:p>
        </c:rich>
      </c:tx>
      <c:layout>
        <c:manualLayout>
          <c:xMode val="edge"/>
          <c:yMode val="edge"/>
          <c:x val="0.11144817010233271"/>
          <c:y val="3.9385925815876785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0.22592609631661209"/>
          <c:y val="0.29254560161111942"/>
          <c:w val="0.48580140965525376"/>
          <c:h val="0.67651760511068193"/>
        </c:manualLayout>
      </c:layout>
      <c:radarChart>
        <c:radarStyle val="marker"/>
        <c:varyColors val="0"/>
        <c:ser>
          <c:idx val="0"/>
          <c:order val="0"/>
          <c:spPr>
            <a:ln w="28575" cap="rnd">
              <a:solidFill>
                <a:schemeClr val="accent1"/>
              </a:solidFill>
              <a:round/>
            </a:ln>
            <a:effectLst/>
          </c:spPr>
          <c:marker>
            <c:symbol val="none"/>
          </c:marker>
          <c:cat>
            <c:strRef>
              <c:f>('Gap-analysis'!$I$4,'Gap-analysis'!$I$11,'Gap-analysis'!$I$15,'Gap-analysis'!$I$18,'Gap-analysis'!$I$27,'Gap-analysis'!$I$30,'Gap-analysis'!$I$37)</c:f>
              <c:strCache>
                <c:ptCount val="7"/>
                <c:pt idx="0">
                  <c:v>Context of the organization:</c:v>
                </c:pt>
                <c:pt idx="1">
                  <c:v>Leadership:</c:v>
                </c:pt>
                <c:pt idx="2">
                  <c:v>Schedule:</c:v>
                </c:pt>
                <c:pt idx="3">
                  <c:v>Support:</c:v>
                </c:pt>
                <c:pt idx="4">
                  <c:v>Performance:</c:v>
                </c:pt>
                <c:pt idx="5">
                  <c:v>Performance evaluation:</c:v>
                </c:pt>
                <c:pt idx="6">
                  <c:v>Improvement:</c:v>
                </c:pt>
              </c:strCache>
            </c:strRef>
          </c:cat>
          <c:val>
            <c:numRef>
              <c:f>('Gap-analysis'!$J$4,'Gap-analysis'!$J$11,'Gap-analysis'!$J$15,'Gap-analysis'!$J$18,'Gap-analysis'!$J$27,'Gap-analysis'!$J$30,'Gap-analysis'!$J$37)</c:f>
              <c:numCache>
                <c:formatCode>0.0</c:formatCode>
                <c:ptCount val="7"/>
                <c:pt idx="0">
                  <c:v>5</c:v>
                </c:pt>
                <c:pt idx="1">
                  <c:v>1.25</c:v>
                </c:pt>
                <c:pt idx="2">
                  <c:v>1.6666666666666667</c:v>
                </c:pt>
                <c:pt idx="3">
                  <c:v>2.2222222222222223</c:v>
                </c:pt>
                <c:pt idx="4">
                  <c:v>1.6666666666666667</c:v>
                </c:pt>
                <c:pt idx="5">
                  <c:v>2.8571428571428572</c:v>
                </c:pt>
                <c:pt idx="6">
                  <c:v>5</c:v>
                </c:pt>
              </c:numCache>
            </c:numRef>
          </c:val>
          <c:extLst>
            <c:ext xmlns:c16="http://schemas.microsoft.com/office/drawing/2014/chart" uri="{C3380CC4-5D6E-409C-BE32-E72D297353CC}">
              <c16:uniqueId val="{00000000-025A-4F42-AE03-466673D97437}"/>
            </c:ext>
          </c:extLst>
        </c:ser>
        <c:dLbls>
          <c:showLegendKey val="0"/>
          <c:showVal val="0"/>
          <c:showCatName val="0"/>
          <c:showSerName val="0"/>
          <c:showPercent val="0"/>
          <c:showBubbleSize val="0"/>
        </c:dLbls>
        <c:axId val="463215520"/>
        <c:axId val="463213224"/>
      </c:radarChart>
      <c:catAx>
        <c:axId val="46321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3213224"/>
        <c:crosses val="autoZero"/>
        <c:auto val="1"/>
        <c:lblAlgn val="ctr"/>
        <c:lblOffset val="100"/>
        <c:noMultiLvlLbl val="0"/>
      </c:catAx>
      <c:valAx>
        <c:axId val="46321322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3215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5178</xdr:rowOff>
    </xdr:from>
    <xdr:to>
      <xdr:col>1</xdr:col>
      <xdr:colOff>600075</xdr:colOff>
      <xdr:row>3</xdr:row>
      <xdr:rowOff>123825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50" y="586203"/>
          <a:ext cx="561975" cy="509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28575</xdr:rowOff>
    </xdr:from>
    <xdr:to>
      <xdr:col>0</xdr:col>
      <xdr:colOff>4248150</xdr:colOff>
      <xdr:row>1</xdr:row>
      <xdr:rowOff>3352800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28574</xdr:colOff>
      <xdr:row>1</xdr:row>
      <xdr:rowOff>323850</xdr:rowOff>
    </xdr:from>
    <xdr:to>
      <xdr:col>1</xdr:col>
      <xdr:colOff>4267199</xdr:colOff>
      <xdr:row>1</xdr:row>
      <xdr:rowOff>3352800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ORK_PC/Geerthenk.wijnants/Stork/Projecten/WCM_CUI/RB_CUI_Management/ToolBP_CuiManagement(Aug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ORK_PC/Geerthenk.wijnants/Stork/Projecten/WCM_CUI/RB_CUI_Management/ToolBP_CuiManagementPrioritering(Nov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lichting"/>
      <sheetName val="Installatie"/>
      <sheetName val="NEN-EN 16991"/>
      <sheetName val="Faalkans"/>
      <sheetName val="CorrosieModel"/>
      <sheetName val="Isol.Cond.Class."/>
      <sheetName val="Coating bescherming"/>
      <sheetName val="NDT Effectiviteit"/>
      <sheetName val="Succescriteria"/>
    </sheetNames>
    <sheetDataSet>
      <sheetData sheetId="0"/>
      <sheetData sheetId="1">
        <row r="8">
          <cell r="C8">
            <v>2</v>
          </cell>
        </row>
        <row r="13">
          <cell r="C13">
            <v>50</v>
          </cell>
        </row>
        <row r="25">
          <cell r="C25">
            <v>16.5</v>
          </cell>
        </row>
        <row r="41">
          <cell r="D41">
            <v>1</v>
          </cell>
        </row>
      </sheetData>
      <sheetData sheetId="2"/>
      <sheetData sheetId="3">
        <row r="3">
          <cell r="C3">
            <v>50</v>
          </cell>
        </row>
        <row r="4">
          <cell r="C4">
            <v>32.766002345256219</v>
          </cell>
        </row>
        <row r="17">
          <cell r="B17" t="str">
            <v>C-staal</v>
          </cell>
        </row>
        <row r="18">
          <cell r="B18" t="str">
            <v>C-staal; TSA</v>
          </cell>
        </row>
        <row r="19">
          <cell r="B19" t="str">
            <v>C-staal; gecoat</v>
          </cell>
        </row>
        <row r="20">
          <cell r="B20" t="str">
            <v>RVS</v>
          </cell>
        </row>
        <row r="21">
          <cell r="B21" t="str">
            <v>RVS; gecoat</v>
          </cell>
        </row>
      </sheetData>
      <sheetData sheetId="4">
        <row r="44">
          <cell r="E44">
            <v>0.35</v>
          </cell>
        </row>
        <row r="47">
          <cell r="A47" t="str">
            <v>Ja</v>
          </cell>
          <cell r="D47">
            <v>-273</v>
          </cell>
          <cell r="E47">
            <v>-4</v>
          </cell>
          <cell r="F47">
            <v>10</v>
          </cell>
          <cell r="G47">
            <v>50</v>
          </cell>
          <cell r="H47">
            <v>80</v>
          </cell>
          <cell r="I47">
            <v>120</v>
          </cell>
          <cell r="J47">
            <v>175</v>
          </cell>
        </row>
        <row r="48">
          <cell r="C48">
            <v>0</v>
          </cell>
          <cell r="D48">
            <v>0</v>
          </cell>
          <cell r="E48">
            <v>0.3</v>
          </cell>
          <cell r="F48">
            <v>0.1</v>
          </cell>
          <cell r="G48">
            <v>0.3</v>
          </cell>
          <cell r="H48">
            <v>0.3</v>
          </cell>
          <cell r="I48">
            <v>0.1</v>
          </cell>
          <cell r="J48">
            <v>0</v>
          </cell>
        </row>
        <row r="49">
          <cell r="C49">
            <v>10</v>
          </cell>
          <cell r="D49">
            <v>0</v>
          </cell>
          <cell r="E49">
            <v>0.3</v>
          </cell>
          <cell r="F49">
            <v>0.3</v>
          </cell>
          <cell r="G49">
            <v>0.3</v>
          </cell>
          <cell r="H49">
            <v>0.5</v>
          </cell>
          <cell r="I49">
            <v>0.3</v>
          </cell>
          <cell r="J49">
            <v>0</v>
          </cell>
        </row>
        <row r="50">
          <cell r="C50">
            <v>100</v>
          </cell>
          <cell r="D50">
            <v>0</v>
          </cell>
          <cell r="E50">
            <v>0.5</v>
          </cell>
          <cell r="F50">
            <v>0.3</v>
          </cell>
          <cell r="G50">
            <v>0.5</v>
          </cell>
          <cell r="H50">
            <v>0.7</v>
          </cell>
          <cell r="I50">
            <v>0.3</v>
          </cell>
          <cell r="J50">
            <v>0</v>
          </cell>
        </row>
        <row r="53">
          <cell r="B53" t="str">
            <v>C1-2</v>
          </cell>
          <cell r="D53">
            <v>0</v>
          </cell>
          <cell r="E53">
            <v>0.1</v>
          </cell>
          <cell r="F53">
            <v>0</v>
          </cell>
          <cell r="G53">
            <v>0.1</v>
          </cell>
          <cell r="H53">
            <v>0.1</v>
          </cell>
          <cell r="I53">
            <v>0</v>
          </cell>
          <cell r="J53">
            <v>0</v>
          </cell>
        </row>
        <row r="54">
          <cell r="B54" t="str">
            <v>C3</v>
          </cell>
          <cell r="D54">
            <v>0</v>
          </cell>
          <cell r="E54">
            <v>0.1</v>
          </cell>
          <cell r="F54">
            <v>0.1</v>
          </cell>
          <cell r="G54">
            <v>0.1</v>
          </cell>
          <cell r="H54">
            <v>0.2</v>
          </cell>
          <cell r="I54">
            <v>0.1</v>
          </cell>
          <cell r="J54">
            <v>0</v>
          </cell>
        </row>
        <row r="55">
          <cell r="B55" t="str">
            <v>C4-C5-CX</v>
          </cell>
          <cell r="D55">
            <v>0</v>
          </cell>
          <cell r="E55">
            <v>0.2</v>
          </cell>
          <cell r="F55">
            <v>0.1</v>
          </cell>
          <cell r="G55">
            <v>0.2</v>
          </cell>
          <cell r="H55">
            <v>0.3</v>
          </cell>
          <cell r="I55">
            <v>0.1</v>
          </cell>
          <cell r="J55">
            <v>0</v>
          </cell>
        </row>
        <row r="72">
          <cell r="B72" t="str">
            <v>Calcium silicate</v>
          </cell>
        </row>
        <row r="73">
          <cell r="B73" t="str">
            <v>Expanded perlite</v>
          </cell>
        </row>
        <row r="74">
          <cell r="B74" t="str">
            <v>Pyrogel XT</v>
          </cell>
        </row>
        <row r="75">
          <cell r="B75" t="str">
            <v>Cellular glass</v>
          </cell>
        </row>
        <row r="76">
          <cell r="B76" t="str">
            <v>WRG mineral wool</v>
          </cell>
        </row>
        <row r="77">
          <cell r="B77" t="str">
            <v>Mineral wool</v>
          </cell>
        </row>
        <row r="78">
          <cell r="B78" t="str">
            <v xml:space="preserve">Pyrogel XT over mineral wool </v>
          </cell>
        </row>
      </sheetData>
      <sheetData sheetId="5"/>
      <sheetData sheetId="6">
        <row r="11">
          <cell r="D11" t="str">
            <v>Getest; bewezen</v>
          </cell>
          <cell r="E11" t="str">
            <v>Getest; onbewezen</v>
          </cell>
          <cell r="F11" t="str">
            <v>Onvolledig getest</v>
          </cell>
          <cell r="H11">
            <v>0.05</v>
          </cell>
          <cell r="I11">
            <v>0.3</v>
          </cell>
          <cell r="J11">
            <v>0.5</v>
          </cell>
        </row>
        <row r="12">
          <cell r="D12" t="str">
            <v>Oud</v>
          </cell>
          <cell r="E12" t="str">
            <v>Recent</v>
          </cell>
          <cell r="H12">
            <v>0.9</v>
          </cell>
          <cell r="I12">
            <v>0.5</v>
          </cell>
        </row>
        <row r="13">
          <cell r="D13" t="str">
            <v>Compleet</v>
          </cell>
          <cell r="E13" t="str">
            <v>&gt; 50% moeilijk</v>
          </cell>
          <cell r="F13" t="str">
            <v>&gt; 80% moeilijk</v>
          </cell>
          <cell r="H13">
            <v>0.05</v>
          </cell>
          <cell r="I13">
            <v>0.75</v>
          </cell>
          <cell r="J13">
            <v>0.9</v>
          </cell>
        </row>
        <row r="14">
          <cell r="D14" t="str">
            <v>Compleet</v>
          </cell>
          <cell r="E14" t="str">
            <v>Goed plan; Onvoldoende expertise</v>
          </cell>
          <cell r="F14" t="str">
            <v>Onvoldoende plan; voldoende expertise</v>
          </cell>
          <cell r="G14" t="str">
            <v>Plan en expertise onvoldoende</v>
          </cell>
          <cell r="H14">
            <v>0.1</v>
          </cell>
          <cell r="I14">
            <v>0.5</v>
          </cell>
          <cell r="J14">
            <v>0.25</v>
          </cell>
          <cell r="K14">
            <v>0.9</v>
          </cell>
        </row>
        <row r="15">
          <cell r="D15" t="str">
            <v>Complete uitvoering en onderhoud</v>
          </cell>
          <cell r="E15" t="str">
            <v>Voldoende uitvoering en onvoldoende onderhoud</v>
          </cell>
          <cell r="F15" t="str">
            <v>Onvoldoende uitvoering, voldoende onderhoud</v>
          </cell>
          <cell r="G15" t="str">
            <v>Uitvoering én onderhoud onvoldoende</v>
          </cell>
          <cell r="H15">
            <v>0.1</v>
          </cell>
          <cell r="I15">
            <v>0.9</v>
          </cell>
          <cell r="J15">
            <v>0.25</v>
          </cell>
          <cell r="K15">
            <v>0.9</v>
          </cell>
        </row>
        <row r="18">
          <cell r="B18">
            <v>20</v>
          </cell>
        </row>
        <row r="19">
          <cell r="B19">
            <v>1.75</v>
          </cell>
        </row>
      </sheetData>
      <sheetData sheetId="7">
        <row r="2">
          <cell r="P2" t="str">
            <v>1) Visuele inspectie met uitpakken.</v>
          </cell>
        </row>
        <row r="3">
          <cell r="P3" t="str">
            <v>2) On stream RT (Film)</v>
          </cell>
        </row>
        <row r="4">
          <cell r="P4" t="str">
            <v>3) On streamRT (digitaal)</v>
          </cell>
        </row>
        <row r="5">
          <cell r="P5" t="str">
            <v>4) Profile radiografie</v>
          </cell>
        </row>
        <row r="6">
          <cell r="P6" t="str">
            <v>5) Guided Waves / Long Range UT</v>
          </cell>
        </row>
        <row r="7">
          <cell r="P7" t="str">
            <v>6) PEC / PEC Array</v>
          </cell>
        </row>
        <row r="8">
          <cell r="P8" t="str">
            <v>7) In-line inspection (intelligent pigging)</v>
          </cell>
        </row>
        <row r="9">
          <cell r="P9" t="str">
            <v>8) Ultrasone wanddikte meting</v>
          </cell>
        </row>
        <row r="10">
          <cell r="P10" t="str">
            <v>9) UT C-scan mapping</v>
          </cell>
        </row>
        <row r="11">
          <cell r="P11" t="str">
            <v>10) Thermografie</v>
          </cell>
        </row>
        <row r="12">
          <cell r="P12" t="str">
            <v>11) 	Neuron Backscatter (tbv vochtdetectie)</v>
          </cell>
        </row>
        <row r="14">
          <cell r="B14" t="str">
            <v>Aftakkingen op leidingen &gt; DN250 en op vatwanden</v>
          </cell>
          <cell r="C14" t="str">
            <v>A</v>
          </cell>
          <cell r="D14" t="str">
            <v>B</v>
          </cell>
          <cell r="E14" t="str">
            <v>B</v>
          </cell>
          <cell r="F14" t="str">
            <v>B</v>
          </cell>
          <cell r="G14" t="str">
            <v>C</v>
          </cell>
          <cell r="H14" t="str">
            <v>C</v>
          </cell>
          <cell r="I14" t="str">
            <v>B</v>
          </cell>
          <cell r="J14" t="str">
            <v>A</v>
          </cell>
          <cell r="K14" t="str">
            <v>B</v>
          </cell>
          <cell r="L14" t="str">
            <v>D</v>
          </cell>
          <cell r="M14" t="str">
            <v>D</v>
          </cell>
        </row>
        <row r="15">
          <cell r="B15" t="str">
            <v>Aftakkingen op leidingen ≤  DN250</v>
          </cell>
          <cell r="C15" t="str">
            <v>A</v>
          </cell>
          <cell r="D15" t="str">
            <v>A</v>
          </cell>
          <cell r="E15" t="str">
            <v>A</v>
          </cell>
          <cell r="F15" t="str">
            <v>B</v>
          </cell>
          <cell r="G15" t="str">
            <v>C</v>
          </cell>
          <cell r="H15" t="str">
            <v>C</v>
          </cell>
          <cell r="I15" t="str">
            <v>B</v>
          </cell>
          <cell r="J15" t="str">
            <v>A</v>
          </cell>
          <cell r="K15" t="str">
            <v>A</v>
          </cell>
          <cell r="L15" t="str">
            <v>D</v>
          </cell>
          <cell r="M15" t="str">
            <v>D</v>
          </cell>
        </row>
        <row r="16">
          <cell r="B16" t="str">
            <v>Brandwerende bekleding in het algemeen</v>
          </cell>
          <cell r="C16" t="str">
            <v>A</v>
          </cell>
          <cell r="D16" t="str">
            <v>A</v>
          </cell>
          <cell r="E16" t="str">
            <v>A</v>
          </cell>
          <cell r="F16" t="str">
            <v>B</v>
          </cell>
          <cell r="G16" t="str">
            <v>D</v>
          </cell>
          <cell r="H16" t="str">
            <v>B</v>
          </cell>
          <cell r="I16" t="str">
            <v>E</v>
          </cell>
          <cell r="J16" t="str">
            <v>E</v>
          </cell>
          <cell r="K16" t="str">
            <v>A</v>
          </cell>
          <cell r="L16" t="str">
            <v>E</v>
          </cell>
          <cell r="M16" t="str">
            <v>D</v>
          </cell>
        </row>
        <row r="17">
          <cell r="B17" t="str">
            <v>Oplegging/Ondersteuning (*)</v>
          </cell>
          <cell r="C17" t="str">
            <v>D</v>
          </cell>
          <cell r="D17" t="str">
            <v>B</v>
          </cell>
          <cell r="E17" t="str">
            <v>A</v>
          </cell>
          <cell r="F17" t="str">
            <v>C</v>
          </cell>
          <cell r="G17" t="str">
            <v>C</v>
          </cell>
          <cell r="H17" t="str">
            <v>E</v>
          </cell>
          <cell r="I17" t="str">
            <v>A</v>
          </cell>
          <cell r="J17" t="str">
            <v>E</v>
          </cell>
          <cell r="K17" t="str">
            <v>E</v>
          </cell>
          <cell r="L17" t="str">
            <v>D</v>
          </cell>
          <cell r="M17" t="str">
            <v>E</v>
          </cell>
        </row>
        <row r="18">
          <cell r="B18" t="str">
            <v>Rechte leidingen &gt; DN250 en vatwanden</v>
          </cell>
          <cell r="C18" t="str">
            <v>A</v>
          </cell>
          <cell r="D18" t="str">
            <v>B</v>
          </cell>
          <cell r="E18" t="str">
            <v>B</v>
          </cell>
          <cell r="F18" t="str">
            <v>B</v>
          </cell>
          <cell r="G18" t="str">
            <v>A</v>
          </cell>
          <cell r="H18" t="str">
            <v>B</v>
          </cell>
          <cell r="I18" t="str">
            <v>A</v>
          </cell>
          <cell r="J18" t="str">
            <v>A</v>
          </cell>
          <cell r="K18" t="str">
            <v>A</v>
          </cell>
          <cell r="L18" t="str">
            <v>C</v>
          </cell>
          <cell r="M18" t="str">
            <v>D</v>
          </cell>
        </row>
        <row r="19">
          <cell r="B19" t="str">
            <v>Rechte leidingen ≤ DN250</v>
          </cell>
          <cell r="C19" t="str">
            <v>A</v>
          </cell>
          <cell r="D19" t="str">
            <v>A</v>
          </cell>
          <cell r="E19" t="str">
            <v>A</v>
          </cell>
          <cell r="F19" t="str">
            <v>A</v>
          </cell>
          <cell r="G19" t="str">
            <v>A</v>
          </cell>
          <cell r="H19" t="str">
            <v>B</v>
          </cell>
          <cell r="I19" t="str">
            <v>A</v>
          </cell>
          <cell r="J19" t="str">
            <v>A</v>
          </cell>
          <cell r="K19" t="str">
            <v>A</v>
          </cell>
          <cell r="L19" t="str">
            <v>C</v>
          </cell>
          <cell r="M19" t="str">
            <v>D</v>
          </cell>
        </row>
        <row r="44">
          <cell r="H44">
            <v>6</v>
          </cell>
          <cell r="I44">
            <v>5</v>
          </cell>
          <cell r="J44">
            <v>4</v>
          </cell>
          <cell r="K44">
            <v>3</v>
          </cell>
          <cell r="L44">
            <v>2</v>
          </cell>
          <cell r="M44">
            <v>1</v>
          </cell>
        </row>
        <row r="45">
          <cell r="H45">
            <v>3</v>
          </cell>
          <cell r="I45">
            <v>3</v>
          </cell>
          <cell r="J45">
            <v>2</v>
          </cell>
          <cell r="K45">
            <v>1</v>
          </cell>
          <cell r="L45">
            <v>1</v>
          </cell>
          <cell r="M45">
            <v>1</v>
          </cell>
        </row>
        <row r="46">
          <cell r="H46">
            <v>4</v>
          </cell>
          <cell r="I46">
            <v>4</v>
          </cell>
          <cell r="J46">
            <v>3</v>
          </cell>
          <cell r="K46">
            <v>2</v>
          </cell>
          <cell r="L46">
            <v>1</v>
          </cell>
          <cell r="M46">
            <v>1</v>
          </cell>
        </row>
        <row r="47">
          <cell r="H47">
            <v>5</v>
          </cell>
          <cell r="I47">
            <v>5</v>
          </cell>
          <cell r="J47">
            <v>4</v>
          </cell>
          <cell r="K47">
            <v>3</v>
          </cell>
          <cell r="L47">
            <v>2</v>
          </cell>
          <cell r="M47">
            <v>1</v>
          </cell>
        </row>
        <row r="48">
          <cell r="H48">
            <v>5</v>
          </cell>
          <cell r="I48">
            <v>5</v>
          </cell>
          <cell r="J48">
            <v>4</v>
          </cell>
          <cell r="K48">
            <v>3</v>
          </cell>
          <cell r="L48">
            <v>2</v>
          </cell>
          <cell r="M48">
            <v>1</v>
          </cell>
        </row>
        <row r="49">
          <cell r="H49">
            <v>6</v>
          </cell>
          <cell r="I49">
            <v>5</v>
          </cell>
          <cell r="J49">
            <v>4</v>
          </cell>
          <cell r="K49">
            <v>3</v>
          </cell>
          <cell r="L49">
            <v>2</v>
          </cell>
          <cell r="M49">
            <v>1</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lichting"/>
      <sheetName val="Installatie"/>
      <sheetName val="Weergave"/>
      <sheetName val="NEN-EN 16991"/>
      <sheetName val="Instellingen"/>
    </sheetNames>
    <sheetDataSet>
      <sheetData sheetId="0"/>
      <sheetData sheetId="1">
        <row r="1">
          <cell r="G1" t="str">
            <v>Ja</v>
          </cell>
        </row>
      </sheetData>
      <sheetData sheetId="2"/>
      <sheetData sheetId="3">
        <row r="3">
          <cell r="AB3">
            <v>10</v>
          </cell>
          <cell r="AC3">
            <v>110</v>
          </cell>
          <cell r="AD3">
            <v>1100</v>
          </cell>
          <cell r="AE3">
            <v>11000</v>
          </cell>
          <cell r="AF3">
            <v>107500</v>
          </cell>
        </row>
        <row r="4">
          <cell r="AB4">
            <v>1.6666666666666667</v>
          </cell>
          <cell r="AC4">
            <v>18.333333333333332</v>
          </cell>
          <cell r="AD4">
            <v>183.33333333333334</v>
          </cell>
          <cell r="AE4">
            <v>1833.3333333333333</v>
          </cell>
          <cell r="AF4">
            <v>17916.666666666668</v>
          </cell>
        </row>
        <row r="5">
          <cell r="AB5">
            <v>0.33333333333333331</v>
          </cell>
          <cell r="AC5">
            <v>3.6666666666666665</v>
          </cell>
          <cell r="AD5">
            <v>36.666666666666664</v>
          </cell>
          <cell r="AE5">
            <v>366.66666666666669</v>
          </cell>
          <cell r="AF5">
            <v>3583.3333333333335</v>
          </cell>
        </row>
        <row r="6">
          <cell r="AB6">
            <v>6.6666666666666666E-2</v>
          </cell>
          <cell r="AC6">
            <v>0.73333333333333328</v>
          </cell>
          <cell r="AD6">
            <v>7.333333333333333</v>
          </cell>
          <cell r="AE6">
            <v>73.333333333333329</v>
          </cell>
          <cell r="AF6">
            <v>716.66666666666663</v>
          </cell>
        </row>
        <row r="7">
          <cell r="AB7">
            <v>8.8888888888888889E-3</v>
          </cell>
          <cell r="AC7">
            <v>9.7777777777777783E-2</v>
          </cell>
          <cell r="AD7">
            <v>0.97777777777777775</v>
          </cell>
          <cell r="AE7">
            <v>9.7777777777777786</v>
          </cell>
          <cell r="AF7">
            <v>95.555555555555557</v>
          </cell>
        </row>
      </sheetData>
      <sheetData sheetId="4">
        <row r="3">
          <cell r="O3" t="str">
            <v>1)  Visuele inspectie met uitpakken.</v>
          </cell>
          <cell r="T3" t="str">
            <v>Calcium silicate</v>
          </cell>
          <cell r="U3">
            <v>5</v>
          </cell>
        </row>
        <row r="4">
          <cell r="O4" t="str">
            <v>2) On stream RT (Film)</v>
          </cell>
          <cell r="T4" t="str">
            <v>Expanded perlite</v>
          </cell>
          <cell r="U4" t="str">
            <v>Geen data beschikbaar.</v>
          </cell>
        </row>
        <row r="5">
          <cell r="O5" t="str">
            <v>3) On streamRT (digitaal)</v>
          </cell>
          <cell r="T5" t="str">
            <v>Pyrogel XT</v>
          </cell>
          <cell r="U5">
            <v>3</v>
          </cell>
        </row>
        <row r="6">
          <cell r="O6" t="str">
            <v>4) Profile radiografie</v>
          </cell>
          <cell r="T6" t="str">
            <v>Cellular glass</v>
          </cell>
          <cell r="U6">
            <v>3</v>
          </cell>
        </row>
        <row r="7">
          <cell r="O7" t="str">
            <v>5) Guided Waves / Long Range UT</v>
          </cell>
          <cell r="T7" t="str">
            <v>WRG mineral wool</v>
          </cell>
          <cell r="U7">
            <v>4</v>
          </cell>
        </row>
        <row r="8">
          <cell r="O8" t="str">
            <v>6) PEC / PEC Array</v>
          </cell>
          <cell r="T8" t="str">
            <v>Mineral wool</v>
          </cell>
          <cell r="U8">
            <v>5</v>
          </cell>
        </row>
        <row r="9">
          <cell r="O9" t="str">
            <v>7) In-line inspection (intelligent pigging)</v>
          </cell>
          <cell r="T9" t="str">
            <v xml:space="preserve">Pyrogel XT over mineral wool </v>
          </cell>
          <cell r="U9">
            <v>3</v>
          </cell>
        </row>
        <row r="10">
          <cell r="O10" t="str">
            <v>8) Ultrasone wanddikte meting</v>
          </cell>
        </row>
        <row r="11">
          <cell r="O11" t="str">
            <v>9) UT C-scan mapping</v>
          </cell>
        </row>
        <row r="12">
          <cell r="O12" t="str">
            <v>10) Thermografie</v>
          </cell>
          <cell r="V12">
            <v>0.1</v>
          </cell>
        </row>
        <row r="13">
          <cell r="O13" t="str">
            <v>11) 	Neuron Backscatter (tbv vochtdetectie)</v>
          </cell>
          <cell r="V13">
            <v>0.25</v>
          </cell>
        </row>
        <row r="14">
          <cell r="V14">
            <v>0.5</v>
          </cell>
        </row>
        <row r="15">
          <cell r="B15" t="str">
            <v>Aftakkingen op leidingen &gt; DN250 en op vatwanden</v>
          </cell>
          <cell r="C15" t="str">
            <v>A</v>
          </cell>
          <cell r="D15" t="str">
            <v>B</v>
          </cell>
          <cell r="E15" t="str">
            <v>B</v>
          </cell>
          <cell r="F15" t="str">
            <v>B</v>
          </cell>
          <cell r="G15" t="str">
            <v>C</v>
          </cell>
          <cell r="H15" t="str">
            <v>C</v>
          </cell>
          <cell r="I15" t="str">
            <v>B</v>
          </cell>
          <cell r="J15" t="str">
            <v>A</v>
          </cell>
          <cell r="K15" t="str">
            <v>B</v>
          </cell>
          <cell r="L15" t="str">
            <v>D</v>
          </cell>
          <cell r="M15" t="str">
            <v>D</v>
          </cell>
          <cell r="V15">
            <v>0.75</v>
          </cell>
        </row>
        <row r="16">
          <cell r="B16" t="str">
            <v>Aftakkingen op leidingen ≤  DN250</v>
          </cell>
          <cell r="C16" t="str">
            <v>A</v>
          </cell>
          <cell r="D16" t="str">
            <v>A</v>
          </cell>
          <cell r="E16" t="str">
            <v>A</v>
          </cell>
          <cell r="F16" t="str">
            <v>B</v>
          </cell>
          <cell r="G16" t="str">
            <v>C</v>
          </cell>
          <cell r="H16" t="str">
            <v>C</v>
          </cell>
          <cell r="I16" t="str">
            <v>B</v>
          </cell>
          <cell r="J16" t="str">
            <v>A</v>
          </cell>
          <cell r="K16" t="str">
            <v>A</v>
          </cell>
          <cell r="L16" t="str">
            <v>D</v>
          </cell>
          <cell r="M16" t="str">
            <v>D</v>
          </cell>
          <cell r="P16" t="str">
            <v>A</v>
          </cell>
          <cell r="Q16">
            <v>0.99</v>
          </cell>
          <cell r="R16">
            <v>1</v>
          </cell>
          <cell r="V16">
            <v>1</v>
          </cell>
        </row>
        <row r="17">
          <cell r="B17" t="str">
            <v>Brandwerende bekleding in het algemeen</v>
          </cell>
          <cell r="C17" t="str">
            <v>A</v>
          </cell>
          <cell r="D17" t="str">
            <v>A</v>
          </cell>
          <cell r="E17" t="str">
            <v>A</v>
          </cell>
          <cell r="F17" t="str">
            <v>B</v>
          </cell>
          <cell r="G17" t="str">
            <v>D</v>
          </cell>
          <cell r="H17" t="str">
            <v>B</v>
          </cell>
          <cell r="I17" t="str">
            <v>E</v>
          </cell>
          <cell r="J17" t="str">
            <v>E</v>
          </cell>
          <cell r="K17" t="str">
            <v>A</v>
          </cell>
          <cell r="L17" t="str">
            <v>E</v>
          </cell>
          <cell r="M17" t="str">
            <v>D</v>
          </cell>
          <cell r="P17" t="str">
            <v>B</v>
          </cell>
          <cell r="Q17">
            <v>0.9</v>
          </cell>
          <cell r="R17">
            <v>0.65</v>
          </cell>
        </row>
        <row r="18">
          <cell r="B18" t="str">
            <v>Oplegging/Ondersteuning (*)</v>
          </cell>
          <cell r="C18" t="str">
            <v>D</v>
          </cell>
          <cell r="D18" t="str">
            <v>B</v>
          </cell>
          <cell r="E18" t="str">
            <v>A</v>
          </cell>
          <cell r="F18" t="str">
            <v>C</v>
          </cell>
          <cell r="G18" t="str">
            <v>C</v>
          </cell>
          <cell r="H18" t="str">
            <v>E</v>
          </cell>
          <cell r="I18" t="str">
            <v>A</v>
          </cell>
          <cell r="J18" t="str">
            <v>E</v>
          </cell>
          <cell r="K18" t="str">
            <v>E</v>
          </cell>
          <cell r="L18" t="str">
            <v>D</v>
          </cell>
          <cell r="M18" t="str">
            <v>E</v>
          </cell>
          <cell r="P18" t="str">
            <v>C</v>
          </cell>
          <cell r="Q18">
            <v>0.7</v>
          </cell>
          <cell r="R18">
            <v>0.35</v>
          </cell>
        </row>
        <row r="19">
          <cell r="B19" t="str">
            <v>Rechte leidingen &gt; DN250 en vatwanden</v>
          </cell>
          <cell r="C19" t="str">
            <v>A</v>
          </cell>
          <cell r="D19" t="str">
            <v>B</v>
          </cell>
          <cell r="E19" t="str">
            <v>B</v>
          </cell>
          <cell r="F19" t="str">
            <v>B</v>
          </cell>
          <cell r="G19" t="str">
            <v>A</v>
          </cell>
          <cell r="H19" t="str">
            <v>B</v>
          </cell>
          <cell r="I19" t="str">
            <v>A</v>
          </cell>
          <cell r="J19" t="str">
            <v>A</v>
          </cell>
          <cell r="K19" t="str">
            <v>A</v>
          </cell>
          <cell r="L19" t="str">
            <v>C</v>
          </cell>
          <cell r="M19" t="str">
            <v>D</v>
          </cell>
          <cell r="P19" t="str">
            <v>D</v>
          </cell>
          <cell r="Q19">
            <v>0.3</v>
          </cell>
          <cell r="R19">
            <v>0.05</v>
          </cell>
        </row>
        <row r="20">
          <cell r="B20" t="str">
            <v>Rechte leidingen ≤ DN250</v>
          </cell>
          <cell r="C20" t="str">
            <v>A</v>
          </cell>
          <cell r="D20" t="str">
            <v>A</v>
          </cell>
          <cell r="E20" t="str">
            <v>A</v>
          </cell>
          <cell r="F20" t="str">
            <v>A</v>
          </cell>
          <cell r="G20" t="str">
            <v>A</v>
          </cell>
          <cell r="H20" t="str">
            <v>B</v>
          </cell>
          <cell r="I20" t="str">
            <v>A</v>
          </cell>
          <cell r="J20" t="str">
            <v>A</v>
          </cell>
          <cell r="K20" t="str">
            <v>A</v>
          </cell>
          <cell r="L20" t="str">
            <v>C</v>
          </cell>
          <cell r="M20" t="str">
            <v>D</v>
          </cell>
          <cell r="P20" t="str">
            <v>E</v>
          </cell>
          <cell r="Q20">
            <v>0</v>
          </cell>
        </row>
        <row r="23">
          <cell r="T23">
            <v>-273</v>
          </cell>
          <cell r="U23">
            <v>-4</v>
          </cell>
          <cell r="V23">
            <v>10</v>
          </cell>
          <cell r="W23">
            <v>50</v>
          </cell>
          <cell r="X23">
            <v>80</v>
          </cell>
          <cell r="Y23">
            <v>120</v>
          </cell>
          <cell r="Z23">
            <v>175</v>
          </cell>
        </row>
        <row r="24">
          <cell r="S24">
            <v>0</v>
          </cell>
          <cell r="T24">
            <v>0</v>
          </cell>
          <cell r="U24">
            <v>0.3</v>
          </cell>
          <cell r="V24">
            <v>0.1</v>
          </cell>
          <cell r="W24">
            <v>0.3</v>
          </cell>
          <cell r="X24">
            <v>0.3</v>
          </cell>
          <cell r="Y24">
            <v>0.1</v>
          </cell>
          <cell r="Z24">
            <v>0</v>
          </cell>
        </row>
        <row r="25">
          <cell r="S25">
            <v>10</v>
          </cell>
          <cell r="T25">
            <v>0</v>
          </cell>
          <cell r="U25">
            <v>0.3</v>
          </cell>
          <cell r="V25">
            <v>0.3</v>
          </cell>
          <cell r="W25">
            <v>0.3</v>
          </cell>
          <cell r="X25">
            <v>0.5</v>
          </cell>
          <cell r="Y25">
            <v>0.3</v>
          </cell>
          <cell r="Z25">
            <v>0</v>
          </cell>
        </row>
        <row r="26">
          <cell r="S26">
            <v>100</v>
          </cell>
          <cell r="T26">
            <v>0</v>
          </cell>
          <cell r="U26">
            <v>0.5</v>
          </cell>
          <cell r="V26">
            <v>0.3</v>
          </cell>
          <cell r="W26">
            <v>0.5</v>
          </cell>
          <cell r="X26">
            <v>0.7</v>
          </cell>
          <cell r="Y26">
            <v>0.3</v>
          </cell>
          <cell r="Z26">
            <v>0</v>
          </cell>
        </row>
        <row r="29">
          <cell r="R29" t="str">
            <v>C1-2</v>
          </cell>
          <cell r="T29">
            <v>0</v>
          </cell>
          <cell r="U29">
            <v>0.1</v>
          </cell>
          <cell r="V29">
            <v>0</v>
          </cell>
          <cell r="W29">
            <v>0.1</v>
          </cell>
          <cell r="X29">
            <v>0.1</v>
          </cell>
          <cell r="Y29">
            <v>0</v>
          </cell>
          <cell r="Z29">
            <v>0</v>
          </cell>
        </row>
        <row r="30">
          <cell r="R30" t="str">
            <v>C3</v>
          </cell>
          <cell r="T30">
            <v>0</v>
          </cell>
          <cell r="U30">
            <v>0.1</v>
          </cell>
          <cell r="V30">
            <v>0.1</v>
          </cell>
          <cell r="W30">
            <v>0.1</v>
          </cell>
          <cell r="X30">
            <v>0.2</v>
          </cell>
          <cell r="Y30">
            <v>0.1</v>
          </cell>
          <cell r="Z30">
            <v>0</v>
          </cell>
        </row>
        <row r="31">
          <cell r="R31" t="str">
            <v>C4-C5-CX</v>
          </cell>
          <cell r="T31">
            <v>0</v>
          </cell>
          <cell r="U31">
            <v>0.2</v>
          </cell>
          <cell r="V31">
            <v>0.1</v>
          </cell>
          <cell r="W31">
            <v>0.2</v>
          </cell>
          <cell r="X31">
            <v>0.3</v>
          </cell>
          <cell r="Y31">
            <v>0.1</v>
          </cell>
          <cell r="Z31">
            <v>0</v>
          </cell>
        </row>
        <row r="33">
          <cell r="S33">
            <v>-273</v>
          </cell>
          <cell r="T33">
            <v>40</v>
          </cell>
        </row>
        <row r="34">
          <cell r="S34">
            <v>0</v>
          </cell>
          <cell r="T34" t="str">
            <v>SAO</v>
          </cell>
        </row>
        <row r="36">
          <cell r="Z36">
            <v>2.6666666666666665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H53"/>
  <sheetViews>
    <sheetView showRowColHeaders="0" tabSelected="1" zoomScale="85" zoomScaleNormal="85" workbookViewId="0">
      <selection activeCell="C8" sqref="C8"/>
    </sheetView>
  </sheetViews>
  <sheetFormatPr defaultColWidth="0" defaultRowHeight="15" customHeight="1" zeroHeight="1" x14ac:dyDescent="0.3"/>
  <cols>
    <col min="1" max="1" width="14" customWidth="1"/>
    <col min="2" max="2" width="9.140625" customWidth="1"/>
    <col min="3" max="3" width="36.28515625" customWidth="1"/>
    <col min="4" max="4" width="11.7109375" customWidth="1"/>
    <col min="5" max="5" width="15.7109375" customWidth="1"/>
    <col min="6" max="6" width="59.28515625" customWidth="1"/>
    <col min="7" max="7" width="9.140625" customWidth="1"/>
    <col min="8" max="8" width="0.140625" customWidth="1"/>
    <col min="9" max="16384" width="9.140625" hidden="1"/>
  </cols>
  <sheetData>
    <row r="1" spans="1:8" ht="45.75" thickBot="1" x14ac:dyDescent="0.35">
      <c r="A1" s="9"/>
      <c r="B1" s="9"/>
      <c r="C1" s="9"/>
      <c r="D1" s="9"/>
      <c r="E1" s="9"/>
      <c r="F1" s="9"/>
      <c r="G1" s="9"/>
      <c r="H1" s="10" t="s">
        <v>0</v>
      </c>
    </row>
    <row r="2" spans="1:8" x14ac:dyDescent="0.3">
      <c r="A2" s="9"/>
      <c r="B2" s="11"/>
      <c r="C2" s="12"/>
      <c r="D2" s="12"/>
      <c r="E2" s="12"/>
      <c r="F2" s="12"/>
      <c r="G2" s="13"/>
      <c r="H2" s="14"/>
    </row>
    <row r="3" spans="1:8" ht="15.75" thickBot="1" x14ac:dyDescent="0.35">
      <c r="A3" s="9"/>
      <c r="B3" s="15"/>
      <c r="C3" s="16"/>
      <c r="D3" s="16"/>
      <c r="E3" s="16"/>
      <c r="F3" s="16"/>
      <c r="G3" s="17" t="s">
        <v>108</v>
      </c>
      <c r="H3" s="14"/>
    </row>
    <row r="4" spans="1:8" ht="27.75" x14ac:dyDescent="0.45">
      <c r="A4" s="9"/>
      <c r="B4" s="18"/>
      <c r="C4" s="19" t="s">
        <v>1</v>
      </c>
      <c r="D4" s="20"/>
      <c r="E4" s="20"/>
      <c r="F4" s="20"/>
      <c r="G4" s="18"/>
      <c r="H4" s="14"/>
    </row>
    <row r="5" spans="1:8" x14ac:dyDescent="0.3">
      <c r="A5" s="9"/>
      <c r="B5" s="18"/>
      <c r="C5" s="21" t="s">
        <v>2</v>
      </c>
      <c r="D5" s="22" t="s">
        <v>266</v>
      </c>
      <c r="E5" s="22"/>
      <c r="F5" s="20"/>
      <c r="G5" s="18"/>
      <c r="H5" s="14"/>
    </row>
    <row r="6" spans="1:8" x14ac:dyDescent="0.3">
      <c r="A6" s="9"/>
      <c r="B6" s="18"/>
      <c r="C6" s="22" t="s">
        <v>101</v>
      </c>
      <c r="D6" s="20"/>
      <c r="E6" s="20"/>
      <c r="F6" s="20"/>
      <c r="G6" s="18"/>
      <c r="H6" s="14"/>
    </row>
    <row r="7" spans="1:8" x14ac:dyDescent="0.3">
      <c r="A7" s="9"/>
      <c r="B7" s="18"/>
      <c r="C7" s="22" t="s">
        <v>102</v>
      </c>
      <c r="D7" s="20"/>
      <c r="E7" s="20"/>
      <c r="F7" s="20"/>
      <c r="G7" s="18"/>
      <c r="H7" s="14"/>
    </row>
    <row r="8" spans="1:8" x14ac:dyDescent="0.3">
      <c r="A8" s="9"/>
      <c r="B8" s="18"/>
      <c r="C8" s="22" t="s">
        <v>103</v>
      </c>
      <c r="D8" s="20"/>
      <c r="E8" s="20"/>
      <c r="F8" s="20"/>
      <c r="G8" s="18"/>
      <c r="H8" s="14"/>
    </row>
    <row r="9" spans="1:8" x14ac:dyDescent="0.3">
      <c r="A9" s="9"/>
      <c r="B9" s="18"/>
      <c r="C9" s="22" t="s">
        <v>104</v>
      </c>
      <c r="D9" s="20"/>
      <c r="E9" s="20"/>
      <c r="F9" s="20"/>
      <c r="G9" s="18"/>
      <c r="H9" s="14"/>
    </row>
    <row r="10" spans="1:8" x14ac:dyDescent="0.3">
      <c r="A10" s="9"/>
      <c r="B10" s="18"/>
      <c r="C10" s="22"/>
      <c r="D10" s="20"/>
      <c r="E10" s="20"/>
      <c r="F10" s="20"/>
      <c r="G10" s="18"/>
      <c r="H10" s="14"/>
    </row>
    <row r="11" spans="1:8" x14ac:dyDescent="0.3">
      <c r="A11" s="9"/>
      <c r="B11" s="18"/>
      <c r="C11" s="22" t="s">
        <v>105</v>
      </c>
      <c r="D11" s="20"/>
      <c r="E11" s="20"/>
      <c r="F11" s="20"/>
      <c r="G11" s="18"/>
      <c r="H11" s="14"/>
    </row>
    <row r="12" spans="1:8" x14ac:dyDescent="0.3">
      <c r="A12" s="9"/>
      <c r="B12" s="18"/>
      <c r="C12" s="22" t="s">
        <v>106</v>
      </c>
      <c r="D12" s="20"/>
      <c r="E12" s="20"/>
      <c r="F12" s="20"/>
      <c r="G12" s="18"/>
      <c r="H12" s="14"/>
    </row>
    <row r="13" spans="1:8" x14ac:dyDescent="0.3">
      <c r="A13" s="9"/>
      <c r="B13" s="18"/>
      <c r="C13" s="22" t="s">
        <v>107</v>
      </c>
      <c r="D13" s="20"/>
      <c r="E13" s="20"/>
      <c r="F13" s="20"/>
      <c r="G13" s="18"/>
      <c r="H13" s="14"/>
    </row>
    <row r="14" spans="1:8" x14ac:dyDescent="0.3">
      <c r="A14" s="9"/>
      <c r="B14" s="18"/>
      <c r="C14" s="22"/>
      <c r="D14" s="20"/>
      <c r="E14" s="20"/>
      <c r="F14" s="20"/>
      <c r="G14" s="18"/>
      <c r="H14" s="14"/>
    </row>
    <row r="15" spans="1:8" x14ac:dyDescent="0.3">
      <c r="A15" s="9"/>
      <c r="B15" s="18"/>
      <c r="C15" s="28" t="s">
        <v>109</v>
      </c>
      <c r="D15" s="20"/>
      <c r="E15" s="20"/>
      <c r="F15" s="20"/>
      <c r="G15" s="18"/>
      <c r="H15" s="14"/>
    </row>
    <row r="16" spans="1:8" x14ac:dyDescent="0.3">
      <c r="A16" s="9"/>
      <c r="B16" s="18"/>
      <c r="C16" s="23" t="s">
        <v>260</v>
      </c>
      <c r="D16" s="24" t="s">
        <v>3</v>
      </c>
      <c r="E16" s="25"/>
      <c r="F16" s="20"/>
      <c r="G16" s="18"/>
      <c r="H16" s="14"/>
    </row>
    <row r="17" spans="1:8" x14ac:dyDescent="0.3">
      <c r="A17" s="9"/>
      <c r="B17" s="18"/>
      <c r="C17" s="23" t="s">
        <v>110</v>
      </c>
      <c r="D17" s="26" t="s">
        <v>3</v>
      </c>
      <c r="E17" s="25" t="s">
        <v>112</v>
      </c>
      <c r="F17" s="20"/>
      <c r="G17" s="18"/>
      <c r="H17" s="14"/>
    </row>
    <row r="18" spans="1:8" x14ac:dyDescent="0.3">
      <c r="A18" s="9"/>
      <c r="B18" s="18"/>
      <c r="C18" s="23" t="s">
        <v>111</v>
      </c>
      <c r="D18" s="27" t="s">
        <v>4</v>
      </c>
      <c r="E18" s="25"/>
      <c r="F18" s="20"/>
      <c r="G18" s="18"/>
      <c r="H18" s="14"/>
    </row>
    <row r="19" spans="1:8" x14ac:dyDescent="0.3">
      <c r="A19" s="9"/>
      <c r="B19" s="18"/>
      <c r="C19" s="23" t="s">
        <v>259</v>
      </c>
      <c r="D19" s="153" t="s">
        <v>258</v>
      </c>
      <c r="E19" s="25"/>
      <c r="F19" s="20"/>
      <c r="G19" s="18"/>
      <c r="H19" s="14"/>
    </row>
    <row r="20" spans="1:8" x14ac:dyDescent="0.3">
      <c r="A20" s="9"/>
      <c r="B20" s="18"/>
      <c r="C20" s="23"/>
      <c r="D20" s="25"/>
      <c r="E20" s="25"/>
      <c r="F20" s="20"/>
      <c r="G20" s="18"/>
      <c r="H20" s="14"/>
    </row>
    <row r="21" spans="1:8" x14ac:dyDescent="0.3">
      <c r="A21" s="9"/>
      <c r="B21" s="18"/>
      <c r="C21" s="28" t="s">
        <v>113</v>
      </c>
      <c r="D21" s="25"/>
      <c r="E21" s="25"/>
      <c r="F21" s="20"/>
      <c r="G21" s="18"/>
      <c r="H21" s="14"/>
    </row>
    <row r="22" spans="1:8" x14ac:dyDescent="0.3">
      <c r="A22" s="9"/>
      <c r="B22" s="18"/>
      <c r="C22" s="29" t="s">
        <v>265</v>
      </c>
      <c r="D22" s="30"/>
      <c r="E22" s="30"/>
      <c r="F22" s="20"/>
      <c r="G22" s="18"/>
      <c r="H22" s="14"/>
    </row>
    <row r="23" spans="1:8" x14ac:dyDescent="0.3">
      <c r="A23" s="9"/>
      <c r="B23" s="18"/>
      <c r="C23" s="29" t="s">
        <v>114</v>
      </c>
      <c r="D23" s="30"/>
      <c r="E23" s="30"/>
      <c r="F23" s="20"/>
      <c r="G23" s="18"/>
      <c r="H23" s="14"/>
    </row>
    <row r="24" spans="1:8" x14ac:dyDescent="0.3">
      <c r="A24" s="9"/>
      <c r="B24" s="18"/>
      <c r="C24" s="28" t="s">
        <v>115</v>
      </c>
      <c r="D24" s="30"/>
      <c r="E24" s="30"/>
      <c r="F24" s="20"/>
      <c r="G24" s="18"/>
      <c r="H24" s="14"/>
    </row>
    <row r="25" spans="1:8" x14ac:dyDescent="0.3">
      <c r="A25" s="9"/>
      <c r="B25" s="18"/>
      <c r="C25" s="29" t="s">
        <v>264</v>
      </c>
      <c r="D25" s="30"/>
      <c r="E25" s="30"/>
      <c r="F25" s="20"/>
      <c r="G25" s="18"/>
      <c r="H25" s="14"/>
    </row>
    <row r="26" spans="1:8" x14ac:dyDescent="0.3">
      <c r="A26" s="9"/>
      <c r="B26" s="18"/>
      <c r="C26" s="29" t="s">
        <v>116</v>
      </c>
      <c r="D26" s="30"/>
      <c r="E26" s="30"/>
      <c r="F26" s="20"/>
      <c r="G26" s="18"/>
      <c r="H26" s="14"/>
    </row>
    <row r="27" spans="1:8" x14ac:dyDescent="0.3">
      <c r="A27" s="9"/>
      <c r="B27" s="18"/>
      <c r="C27" s="22"/>
      <c r="D27" s="30"/>
      <c r="E27" s="30"/>
      <c r="F27" s="20"/>
      <c r="G27" s="18"/>
      <c r="H27" s="14"/>
    </row>
    <row r="28" spans="1:8" x14ac:dyDescent="0.3">
      <c r="A28" s="9"/>
      <c r="B28" s="18"/>
      <c r="C28" s="22" t="s">
        <v>118</v>
      </c>
      <c r="D28" s="30"/>
      <c r="E28" s="30"/>
      <c r="F28" s="20"/>
      <c r="G28" s="18"/>
      <c r="H28" s="14"/>
    </row>
    <row r="29" spans="1:8" x14ac:dyDescent="0.3">
      <c r="A29" s="9"/>
      <c r="B29" s="18"/>
      <c r="C29" s="123" t="s">
        <v>117</v>
      </c>
      <c r="D29" s="30"/>
      <c r="E29" s="30"/>
      <c r="F29" s="20"/>
      <c r="G29" s="18"/>
      <c r="H29" s="14"/>
    </row>
    <row r="30" spans="1:8" x14ac:dyDescent="0.3">
      <c r="A30" s="9"/>
      <c r="B30" s="18"/>
      <c r="C30" s="123" t="s">
        <v>119</v>
      </c>
      <c r="D30" s="30"/>
      <c r="E30" s="30"/>
      <c r="F30" s="20"/>
      <c r="G30" s="18"/>
      <c r="H30" s="14"/>
    </row>
    <row r="31" spans="1:8" x14ac:dyDescent="0.3">
      <c r="A31" s="9"/>
      <c r="B31" s="18"/>
      <c r="C31" s="22"/>
      <c r="D31" s="25"/>
      <c r="E31" s="25"/>
      <c r="F31" s="20"/>
      <c r="G31" s="18"/>
      <c r="H31" s="14"/>
    </row>
    <row r="32" spans="1:8" x14ac:dyDescent="0.3">
      <c r="A32" s="9"/>
      <c r="B32" s="18"/>
      <c r="C32" s="28" t="s">
        <v>120</v>
      </c>
      <c r="D32" s="25"/>
      <c r="E32" s="25"/>
      <c r="F32" s="20"/>
      <c r="G32" s="18"/>
      <c r="H32" s="14"/>
    </row>
    <row r="33" spans="1:8" x14ac:dyDescent="0.3">
      <c r="A33" s="9"/>
      <c r="B33" s="18"/>
      <c r="C33" s="31" t="s">
        <v>121</v>
      </c>
      <c r="D33" s="25"/>
      <c r="E33" s="25"/>
      <c r="F33" s="20"/>
      <c r="G33" s="18"/>
      <c r="H33" s="14"/>
    </row>
    <row r="34" spans="1:8" x14ac:dyDescent="0.3">
      <c r="A34" s="9"/>
      <c r="B34" s="18"/>
      <c r="C34" s="31" t="s">
        <v>122</v>
      </c>
      <c r="D34" s="25"/>
      <c r="E34" s="25"/>
      <c r="F34" s="20"/>
      <c r="G34" s="18"/>
      <c r="H34" s="14"/>
    </row>
    <row r="35" spans="1:8" x14ac:dyDescent="0.3">
      <c r="A35" s="9"/>
      <c r="B35" s="18"/>
      <c r="C35" s="31" t="s">
        <v>123</v>
      </c>
      <c r="D35" s="25"/>
      <c r="E35" s="25"/>
      <c r="F35" s="20"/>
      <c r="G35" s="18"/>
      <c r="H35" s="14"/>
    </row>
    <row r="36" spans="1:8" x14ac:dyDescent="0.3">
      <c r="A36" s="9"/>
      <c r="B36" s="18"/>
      <c r="C36" s="31" t="s">
        <v>124</v>
      </c>
      <c r="D36" s="25"/>
      <c r="E36" s="25"/>
      <c r="F36" s="20"/>
      <c r="G36" s="18"/>
      <c r="H36" s="14"/>
    </row>
    <row r="37" spans="1:8" ht="15.75" thickBot="1" x14ac:dyDescent="0.35">
      <c r="A37" s="9"/>
      <c r="B37" s="18"/>
      <c r="C37" s="32"/>
      <c r="D37" s="33"/>
      <c r="E37" s="33"/>
      <c r="F37" s="20"/>
      <c r="G37" s="18"/>
      <c r="H37" s="14"/>
    </row>
    <row r="38" spans="1:8" x14ac:dyDescent="0.3">
      <c r="A38" s="9"/>
      <c r="B38" s="15"/>
      <c r="C38" s="12"/>
      <c r="D38" s="12"/>
      <c r="E38" s="12"/>
      <c r="F38" s="12"/>
      <c r="G38" s="34"/>
      <c r="H38" s="14"/>
    </row>
    <row r="39" spans="1:8" ht="15.75" thickBot="1" x14ac:dyDescent="0.35">
      <c r="A39" s="9"/>
      <c r="B39" s="35"/>
      <c r="C39" s="16"/>
      <c r="D39" s="16"/>
      <c r="E39" s="16"/>
      <c r="F39" s="16"/>
      <c r="G39" s="36"/>
      <c r="H39" s="14"/>
    </row>
    <row r="40" spans="1:8" hidden="1" x14ac:dyDescent="0.3"/>
    <row r="41" spans="1:8" hidden="1" x14ac:dyDescent="0.3"/>
    <row r="42" spans="1:8" hidden="1" x14ac:dyDescent="0.3"/>
    <row r="43" spans="1:8" hidden="1" x14ac:dyDescent="0.3"/>
    <row r="44" spans="1:8" hidden="1" x14ac:dyDescent="0.3"/>
    <row r="45" spans="1:8" hidden="1" x14ac:dyDescent="0.3"/>
    <row r="46" spans="1:8" hidden="1" x14ac:dyDescent="0.3"/>
    <row r="47" spans="1:8" hidden="1" x14ac:dyDescent="0.3"/>
    <row r="48" spans="1:8" hidden="1" x14ac:dyDescent="0.3"/>
    <row r="49" hidden="1" x14ac:dyDescent="0.3"/>
    <row r="50" hidden="1" x14ac:dyDescent="0.3"/>
    <row r="51" hidden="1" x14ac:dyDescent="0.3"/>
    <row r="52" ht="15" hidden="1" customHeight="1" x14ac:dyDescent="0.3"/>
    <row r="53" ht="15" hidden="1" customHeight="1" x14ac:dyDescent="0.3"/>
  </sheetData>
  <dataValidations count="4">
    <dataValidation type="custom" showInputMessage="1" showErrorMessage="1" promptTitle="Please note:" prompt="When a field in a sheet is displayed in this way, whether or not  information is entered in this field, has no influence on the outcome._x000a_The field therefore has NO effect on the risk assessment in this specific case as a result of other data entered." sqref="D17">
      <formula1>0</formula1>
    </dataValidation>
    <dataValidation type="custom" showInputMessage="1" showErrorMessage="1" sqref="C16:C19 D16 D18">
      <formula1>0</formula1>
    </dataValidation>
    <dataValidation type="custom" showInputMessage="1" showErrorMessage="1" promptTitle="Optional input." prompt="The input in this field is optional, meaning that it is not required to get results yet it may help in determining specific into in order to obtain appropriate results." sqref="D19">
      <formula1>0</formula1>
    </dataValidation>
    <dataValidation type="custom" showInputMessage="1" showErrorMessage="1" errorTitle="Please note:" error="This cell is protected against change in order to prevent unintended changes." sqref="C4:F15 C20:D37 E24:F37 E16 E18:F23 E16:F16 E17:F17 C3:G3">
      <formula1>0</formula1>
    </dataValidation>
  </dataValidations>
  <pageMargins left="0.70866141732283472" right="0.70866141732283472" top="1.3385826771653544" bottom="0.74803149606299213" header="0.31496062992125984" footer="0.31496062992125984"/>
  <pageSetup paperSize="9" orientation="landscape" r:id="rId1"/>
  <headerFooter>
    <oddHeader>&amp;L&amp;G&amp;RWorld Class Maintenance project: Risk Based CUI Management.</oddHeader>
    <oddFooter>&amp;L&amp;9File / Tab: &amp;F / &amp;A&amp;C&amp;9Printdatum: &amp;D&amp;R&amp;9Bladzijde &amp;P van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K44"/>
  <sheetViews>
    <sheetView zoomScaleNormal="100" workbookViewId="0"/>
  </sheetViews>
  <sheetFormatPr defaultColWidth="0" defaultRowHeight="15" zeroHeight="1" x14ac:dyDescent="0.3"/>
  <cols>
    <col min="1" max="1" width="11.5703125" customWidth="1"/>
    <col min="2" max="2" width="6.140625" customWidth="1"/>
    <col min="3" max="3" width="74" customWidth="1"/>
    <col min="4" max="4" width="6.28515625" customWidth="1"/>
    <col min="5" max="5" width="3.28515625" style="20" customWidth="1"/>
    <col min="6" max="6" width="8" customWidth="1"/>
    <col min="7" max="7" width="68.7109375" customWidth="1"/>
    <col min="8" max="8" width="6.28515625" customWidth="1"/>
    <col min="9" max="9" width="27.7109375" bestFit="1" customWidth="1"/>
    <col min="10" max="10" width="6.28515625" customWidth="1"/>
    <col min="11" max="11" width="3.140625" customWidth="1"/>
    <col min="12" max="16384" width="9.140625" hidden="1"/>
  </cols>
  <sheetData>
    <row r="1" spans="1:10" x14ac:dyDescent="0.3">
      <c r="B1" s="1" t="s">
        <v>125</v>
      </c>
      <c r="F1" s="1" t="s">
        <v>262</v>
      </c>
    </row>
    <row r="2" spans="1:10" x14ac:dyDescent="0.3">
      <c r="A2" s="155" t="s">
        <v>127</v>
      </c>
      <c r="B2" s="155"/>
      <c r="C2" s="3" t="s">
        <v>126</v>
      </c>
      <c r="F2" s="124" t="s">
        <v>128</v>
      </c>
      <c r="G2" s="2" t="s">
        <v>263</v>
      </c>
    </row>
    <row r="3" spans="1:10" x14ac:dyDescent="0.3">
      <c r="B3" s="3" t="s">
        <v>129</v>
      </c>
      <c r="C3" s="3"/>
      <c r="H3" s="37">
        <f>10*SUM(H4:H39)/(36*2)</f>
        <v>2.9166666666666665</v>
      </c>
    </row>
    <row r="4" spans="1:10" x14ac:dyDescent="0.3">
      <c r="B4" s="4" t="s">
        <v>130</v>
      </c>
      <c r="C4" s="3"/>
      <c r="D4" s="37">
        <f>10*SUM(D5:D8)/(4*2)</f>
        <v>6.25</v>
      </c>
      <c r="F4" s="130">
        <v>1</v>
      </c>
      <c r="G4" s="131" t="s">
        <v>180</v>
      </c>
      <c r="H4" s="6">
        <v>1</v>
      </c>
      <c r="I4" s="132" t="s">
        <v>198</v>
      </c>
      <c r="J4" s="37">
        <f>10*SUM(H4:H10)/(7*2)</f>
        <v>5</v>
      </c>
    </row>
    <row r="5" spans="1:10" x14ac:dyDescent="0.3">
      <c r="B5" s="3"/>
      <c r="C5" s="3" t="s">
        <v>131</v>
      </c>
      <c r="D5" s="6">
        <v>2</v>
      </c>
      <c r="F5" s="7">
        <v>2</v>
      </c>
      <c r="G5" s="8" t="s">
        <v>181</v>
      </c>
      <c r="H5" s="6">
        <v>1</v>
      </c>
      <c r="I5" s="127"/>
    </row>
    <row r="6" spans="1:10" x14ac:dyDescent="0.3">
      <c r="B6" s="3"/>
      <c r="C6" s="3" t="s">
        <v>132</v>
      </c>
      <c r="D6" s="6">
        <v>1</v>
      </c>
      <c r="F6" s="7">
        <v>3</v>
      </c>
      <c r="G6" s="8" t="s">
        <v>182</v>
      </c>
      <c r="H6" s="6">
        <v>1</v>
      </c>
      <c r="I6" s="127"/>
    </row>
    <row r="7" spans="1:10" x14ac:dyDescent="0.3">
      <c r="B7" s="3"/>
      <c r="C7" s="3" t="s">
        <v>133</v>
      </c>
      <c r="D7" s="6">
        <v>1</v>
      </c>
      <c r="F7" s="7">
        <v>4</v>
      </c>
      <c r="G7" s="8" t="s">
        <v>183</v>
      </c>
      <c r="H7" s="6">
        <v>1</v>
      </c>
      <c r="I7" s="127"/>
    </row>
    <row r="8" spans="1:10" x14ac:dyDescent="0.3">
      <c r="B8" s="3"/>
      <c r="C8" s="3" t="s">
        <v>134</v>
      </c>
      <c r="D8" s="6">
        <v>1</v>
      </c>
      <c r="F8" s="7">
        <v>5</v>
      </c>
      <c r="G8" s="8" t="s">
        <v>184</v>
      </c>
      <c r="H8" s="6">
        <v>1</v>
      </c>
      <c r="I8" s="127"/>
    </row>
    <row r="9" spans="1:10" x14ac:dyDescent="0.3">
      <c r="B9" s="4" t="s">
        <v>135</v>
      </c>
      <c r="C9" s="3"/>
      <c r="D9" s="37">
        <f>10*SUM(D10:D12)/(3*2)</f>
        <v>3.3333333333333335</v>
      </c>
      <c r="F9" s="7">
        <v>6</v>
      </c>
      <c r="G9" s="8" t="s">
        <v>185</v>
      </c>
      <c r="H9" s="6">
        <v>1</v>
      </c>
      <c r="I9" s="127"/>
    </row>
    <row r="10" spans="1:10" x14ac:dyDescent="0.3">
      <c r="B10" s="3"/>
      <c r="C10" s="3" t="s">
        <v>249</v>
      </c>
      <c r="D10" s="6">
        <v>1</v>
      </c>
      <c r="F10" s="7">
        <v>7</v>
      </c>
      <c r="G10" s="8" t="s">
        <v>186</v>
      </c>
      <c r="H10" s="6">
        <v>1</v>
      </c>
      <c r="I10" s="127"/>
    </row>
    <row r="11" spans="1:10" x14ac:dyDescent="0.3">
      <c r="B11" s="3"/>
      <c r="C11" s="3" t="s">
        <v>136</v>
      </c>
      <c r="D11" s="6">
        <v>0</v>
      </c>
      <c r="F11" s="130">
        <v>8</v>
      </c>
      <c r="G11" s="131" t="s">
        <v>187</v>
      </c>
      <c r="H11" s="6">
        <v>1</v>
      </c>
      <c r="I11" s="132" t="s">
        <v>199</v>
      </c>
      <c r="J11" s="37">
        <f>10*SUM(H11:H14)/(4*2)</f>
        <v>1.25</v>
      </c>
    </row>
    <row r="12" spans="1:10" x14ac:dyDescent="0.3">
      <c r="B12" s="3"/>
      <c r="C12" s="3" t="s">
        <v>137</v>
      </c>
      <c r="D12" s="6">
        <v>1</v>
      </c>
      <c r="F12" s="7">
        <v>9</v>
      </c>
      <c r="G12" s="8" t="s">
        <v>188</v>
      </c>
      <c r="H12" s="6">
        <v>0</v>
      </c>
      <c r="I12" s="127"/>
    </row>
    <row r="13" spans="1:10" x14ac:dyDescent="0.3">
      <c r="B13" s="4" t="s">
        <v>138</v>
      </c>
      <c r="C13" s="3"/>
      <c r="D13" s="37">
        <f>10*SUM(D14:D19)/(6*2)</f>
        <v>4.166666666666667</v>
      </c>
      <c r="F13" s="7">
        <v>10</v>
      </c>
      <c r="G13" s="8" t="s">
        <v>189</v>
      </c>
      <c r="H13" s="6">
        <v>0</v>
      </c>
      <c r="I13" s="127"/>
    </row>
    <row r="14" spans="1:10" x14ac:dyDescent="0.3">
      <c r="B14" s="4"/>
      <c r="C14" s="3" t="s">
        <v>139</v>
      </c>
      <c r="D14" s="6">
        <v>1</v>
      </c>
      <c r="F14" s="7">
        <v>11</v>
      </c>
      <c r="G14" s="8" t="s">
        <v>190</v>
      </c>
      <c r="H14" s="6">
        <v>0</v>
      </c>
      <c r="I14" s="127"/>
    </row>
    <row r="15" spans="1:10" x14ac:dyDescent="0.3">
      <c r="B15" s="3"/>
      <c r="C15" s="3" t="s">
        <v>140</v>
      </c>
      <c r="D15" s="6">
        <v>1</v>
      </c>
      <c r="F15" s="130">
        <v>12</v>
      </c>
      <c r="G15" s="131" t="s">
        <v>191</v>
      </c>
      <c r="H15" s="6">
        <v>1</v>
      </c>
      <c r="I15" s="132" t="s">
        <v>200</v>
      </c>
      <c r="J15" s="37">
        <f>10*SUM(H15:H17)/(3*2)</f>
        <v>1.6666666666666667</v>
      </c>
    </row>
    <row r="16" spans="1:10" x14ac:dyDescent="0.3">
      <c r="B16" s="3"/>
      <c r="C16" s="3" t="s">
        <v>250</v>
      </c>
      <c r="D16" s="6">
        <v>0</v>
      </c>
      <c r="F16" s="7">
        <v>13</v>
      </c>
      <c r="G16" s="8" t="s">
        <v>143</v>
      </c>
      <c r="H16" s="6">
        <v>0</v>
      </c>
      <c r="I16" s="127"/>
    </row>
    <row r="17" spans="2:10" x14ac:dyDescent="0.3">
      <c r="B17" s="3"/>
      <c r="C17" s="3" t="s">
        <v>251</v>
      </c>
      <c r="D17" s="6">
        <v>2</v>
      </c>
      <c r="F17" s="7">
        <v>14</v>
      </c>
      <c r="G17" s="8" t="s">
        <v>144</v>
      </c>
      <c r="H17" s="6">
        <v>0</v>
      </c>
      <c r="I17" s="127"/>
    </row>
    <row r="18" spans="2:10" x14ac:dyDescent="0.3">
      <c r="B18" s="3"/>
      <c r="C18" s="3" t="s">
        <v>141</v>
      </c>
      <c r="D18" s="6">
        <v>1</v>
      </c>
      <c r="F18" s="130">
        <v>15</v>
      </c>
      <c r="G18" s="131" t="s">
        <v>145</v>
      </c>
      <c r="H18" s="6">
        <v>1</v>
      </c>
      <c r="I18" s="132" t="s">
        <v>201</v>
      </c>
      <c r="J18" s="37">
        <f>10*SUM(H18:H26)/(9*2)</f>
        <v>2.2222222222222223</v>
      </c>
    </row>
    <row r="19" spans="2:10" x14ac:dyDescent="0.3">
      <c r="B19" s="3"/>
      <c r="C19" s="3" t="s">
        <v>142</v>
      </c>
      <c r="D19" s="6">
        <v>0</v>
      </c>
      <c r="F19" s="7">
        <v>16</v>
      </c>
      <c r="G19" s="8" t="s">
        <v>192</v>
      </c>
      <c r="H19" s="6">
        <v>1</v>
      </c>
      <c r="I19" s="127"/>
    </row>
    <row r="20" spans="2:10" x14ac:dyDescent="0.3">
      <c r="B20" s="4" t="s">
        <v>146</v>
      </c>
      <c r="D20" s="37">
        <f>10*SUM(D21:D26)/(6*2)</f>
        <v>1.6666666666666667</v>
      </c>
      <c r="F20" s="7">
        <v>17</v>
      </c>
      <c r="G20" s="8" t="s">
        <v>159</v>
      </c>
      <c r="H20" s="6">
        <v>0</v>
      </c>
      <c r="I20" s="127"/>
    </row>
    <row r="21" spans="2:10" x14ac:dyDescent="0.3">
      <c r="C21" s="3" t="s">
        <v>147</v>
      </c>
      <c r="D21" s="6">
        <v>0</v>
      </c>
      <c r="F21" s="7">
        <v>18</v>
      </c>
      <c r="G21" s="8" t="s">
        <v>160</v>
      </c>
      <c r="H21" s="6">
        <v>0</v>
      </c>
      <c r="I21" s="127"/>
    </row>
    <row r="22" spans="2:10" x14ac:dyDescent="0.3">
      <c r="C22" s="3" t="s">
        <v>148</v>
      </c>
      <c r="D22" s="6">
        <v>0</v>
      </c>
      <c r="F22" s="7">
        <v>19</v>
      </c>
      <c r="G22" s="8" t="s">
        <v>161</v>
      </c>
      <c r="H22" s="6">
        <v>0</v>
      </c>
      <c r="I22" s="127"/>
    </row>
    <row r="23" spans="2:10" x14ac:dyDescent="0.3">
      <c r="C23" s="3" t="s">
        <v>149</v>
      </c>
      <c r="D23" s="6">
        <v>0</v>
      </c>
      <c r="F23" s="7">
        <v>20</v>
      </c>
      <c r="G23" s="8" t="s">
        <v>162</v>
      </c>
      <c r="H23" s="6">
        <v>0</v>
      </c>
      <c r="I23" s="127"/>
    </row>
    <row r="24" spans="2:10" x14ac:dyDescent="0.3">
      <c r="C24" s="3" t="s">
        <v>150</v>
      </c>
      <c r="D24" s="6">
        <v>0</v>
      </c>
      <c r="F24" s="7">
        <v>21</v>
      </c>
      <c r="G24" s="8" t="s">
        <v>163</v>
      </c>
      <c r="H24" s="6">
        <v>1</v>
      </c>
      <c r="I24" s="127"/>
    </row>
    <row r="25" spans="2:10" x14ac:dyDescent="0.3">
      <c r="C25" s="3" t="s">
        <v>151</v>
      </c>
      <c r="D25" s="6">
        <v>1</v>
      </c>
      <c r="F25" s="7">
        <v>22</v>
      </c>
      <c r="G25" s="8" t="s">
        <v>164</v>
      </c>
      <c r="H25" s="6">
        <v>0</v>
      </c>
      <c r="I25" s="127"/>
    </row>
    <row r="26" spans="2:10" x14ac:dyDescent="0.3">
      <c r="C26" s="3" t="s">
        <v>152</v>
      </c>
      <c r="D26" s="6">
        <v>1</v>
      </c>
      <c r="F26" s="7">
        <v>23</v>
      </c>
      <c r="G26" s="8" t="s">
        <v>165</v>
      </c>
      <c r="H26" s="6">
        <v>1</v>
      </c>
      <c r="I26" s="127"/>
    </row>
    <row r="27" spans="2:10" x14ac:dyDescent="0.3">
      <c r="B27" s="4" t="s">
        <v>153</v>
      </c>
      <c r="D27" s="37">
        <f>10*SUM(D28:D34)/(7*2)</f>
        <v>4.2857142857142856</v>
      </c>
      <c r="F27" s="130">
        <v>24</v>
      </c>
      <c r="G27" s="131" t="s">
        <v>166</v>
      </c>
      <c r="H27" s="6">
        <v>0</v>
      </c>
      <c r="I27" s="132" t="s">
        <v>202</v>
      </c>
      <c r="J27" s="37">
        <f>10*SUM(H27:H29)/(3*2)</f>
        <v>1.6666666666666667</v>
      </c>
    </row>
    <row r="28" spans="2:10" x14ac:dyDescent="0.3">
      <c r="C28" s="3" t="s">
        <v>154</v>
      </c>
      <c r="D28" s="6">
        <v>1</v>
      </c>
      <c r="F28" s="7">
        <v>25</v>
      </c>
      <c r="G28" s="8" t="s">
        <v>167</v>
      </c>
      <c r="H28" s="6">
        <v>0</v>
      </c>
      <c r="I28" s="127"/>
    </row>
    <row r="29" spans="2:10" x14ac:dyDescent="0.3">
      <c r="C29" s="3" t="s">
        <v>155</v>
      </c>
      <c r="D29" s="6">
        <v>1</v>
      </c>
      <c r="F29" s="7">
        <v>26</v>
      </c>
      <c r="G29" s="8" t="s">
        <v>168</v>
      </c>
      <c r="H29" s="6">
        <v>1</v>
      </c>
      <c r="I29" s="127"/>
    </row>
    <row r="30" spans="2:10" x14ac:dyDescent="0.3">
      <c r="C30" s="3" t="s">
        <v>252</v>
      </c>
      <c r="D30" s="6">
        <v>1</v>
      </c>
      <c r="F30" s="130">
        <v>27</v>
      </c>
      <c r="G30" s="131" t="s">
        <v>169</v>
      </c>
      <c r="H30" s="6">
        <v>1</v>
      </c>
      <c r="I30" s="132" t="s">
        <v>203</v>
      </c>
      <c r="J30" s="37">
        <f>10*SUM(H30:H36)/(7*2)</f>
        <v>2.8571428571428572</v>
      </c>
    </row>
    <row r="31" spans="2:10" x14ac:dyDescent="0.3">
      <c r="C31" s="3" t="s">
        <v>253</v>
      </c>
      <c r="D31" s="6">
        <v>1</v>
      </c>
      <c r="F31" s="7">
        <v>28</v>
      </c>
      <c r="G31" s="8" t="s">
        <v>170</v>
      </c>
      <c r="H31" s="6">
        <v>1</v>
      </c>
      <c r="I31" s="127"/>
    </row>
    <row r="32" spans="2:10" x14ac:dyDescent="0.3">
      <c r="C32" s="3" t="s">
        <v>248</v>
      </c>
      <c r="D32" s="6">
        <v>1</v>
      </c>
      <c r="F32" s="7">
        <v>29</v>
      </c>
      <c r="G32" s="8" t="s">
        <v>171</v>
      </c>
      <c r="H32" s="6">
        <v>0</v>
      </c>
      <c r="I32" s="127"/>
    </row>
    <row r="33" spans="2:10" x14ac:dyDescent="0.3">
      <c r="C33" s="3" t="s">
        <v>179</v>
      </c>
      <c r="D33" s="6">
        <v>0</v>
      </c>
      <c r="F33" s="7">
        <v>30</v>
      </c>
      <c r="G33" s="8" t="s">
        <v>172</v>
      </c>
      <c r="H33" s="6">
        <v>0</v>
      </c>
      <c r="I33" s="127"/>
    </row>
    <row r="34" spans="2:10" x14ac:dyDescent="0.3">
      <c r="C34" s="3" t="s">
        <v>156</v>
      </c>
      <c r="D34" s="6">
        <v>1</v>
      </c>
      <c r="F34" s="7">
        <v>31</v>
      </c>
      <c r="G34" s="8" t="s">
        <v>173</v>
      </c>
      <c r="H34" s="6">
        <v>0</v>
      </c>
      <c r="I34" s="127"/>
    </row>
    <row r="35" spans="2:10" x14ac:dyDescent="0.3">
      <c r="B35" s="4" t="s">
        <v>157</v>
      </c>
      <c r="D35" s="37">
        <f>10*SUM(D36:D37)/(2*2)</f>
        <v>5</v>
      </c>
      <c r="F35" s="7">
        <v>32</v>
      </c>
      <c r="G35" s="8" t="s">
        <v>174</v>
      </c>
      <c r="H35" s="6">
        <v>1</v>
      </c>
      <c r="I35" s="127"/>
    </row>
    <row r="36" spans="2:10" x14ac:dyDescent="0.3">
      <c r="C36" s="3" t="s">
        <v>254</v>
      </c>
      <c r="D36" s="6">
        <v>1</v>
      </c>
      <c r="F36" s="7">
        <v>33</v>
      </c>
      <c r="G36" s="8" t="s">
        <v>175</v>
      </c>
      <c r="H36" s="6">
        <v>1</v>
      </c>
      <c r="I36" s="127"/>
    </row>
    <row r="37" spans="2:10" x14ac:dyDescent="0.3">
      <c r="C37" s="5" t="s">
        <v>158</v>
      </c>
      <c r="D37" s="6">
        <v>1</v>
      </c>
      <c r="F37" s="130">
        <v>34</v>
      </c>
      <c r="G37" s="131" t="s">
        <v>176</v>
      </c>
      <c r="H37" s="6">
        <v>1</v>
      </c>
      <c r="I37" s="132" t="s">
        <v>204</v>
      </c>
      <c r="J37" s="37">
        <f>10*SUM(H37:H39)/(3*2)</f>
        <v>5</v>
      </c>
    </row>
    <row r="38" spans="2:10" x14ac:dyDescent="0.3">
      <c r="F38" s="7">
        <v>35</v>
      </c>
      <c r="G38" s="8" t="s">
        <v>177</v>
      </c>
      <c r="H38" s="6">
        <v>1</v>
      </c>
      <c r="I38" s="127"/>
    </row>
    <row r="39" spans="2:10" x14ac:dyDescent="0.3">
      <c r="B39" s="4" t="s">
        <v>194</v>
      </c>
      <c r="F39" s="7">
        <v>36</v>
      </c>
      <c r="G39" s="8" t="s">
        <v>178</v>
      </c>
      <c r="H39" s="6">
        <v>1</v>
      </c>
      <c r="I39" s="127"/>
    </row>
    <row r="40" spans="2:10" x14ac:dyDescent="0.3">
      <c r="B40" s="154"/>
      <c r="C40" s="154"/>
    </row>
    <row r="41" spans="2:10" x14ac:dyDescent="0.3">
      <c r="B41" s="154"/>
      <c r="C41" s="154"/>
      <c r="F41" s="4" t="s">
        <v>193</v>
      </c>
    </row>
    <row r="42" spans="2:10" x14ac:dyDescent="0.3">
      <c r="B42" s="154"/>
      <c r="C42" s="154"/>
      <c r="F42" s="154"/>
      <c r="G42" s="154"/>
    </row>
    <row r="43" spans="2:10" x14ac:dyDescent="0.3">
      <c r="B43" s="154"/>
      <c r="C43" s="154"/>
      <c r="F43" s="154"/>
      <c r="G43" s="154"/>
    </row>
    <row r="44" spans="2:10" x14ac:dyDescent="0.3"/>
  </sheetData>
  <mergeCells count="7">
    <mergeCell ref="F42:G42"/>
    <mergeCell ref="F43:G43"/>
    <mergeCell ref="A2:B2"/>
    <mergeCell ref="B40:C40"/>
    <mergeCell ref="B41:C41"/>
    <mergeCell ref="B42:C42"/>
    <mergeCell ref="B43:C43"/>
  </mergeCells>
  <dataValidations xWindow="937" yWindow="246" count="10">
    <dataValidation type="custom" showInputMessage="1" showErrorMessage="1" errorTitle="Nota bene" error="Deze cel is afgeschermd tegen onbedoelde wijziging." sqref="F4:G39">
      <formula1>0</formula1>
    </dataValidation>
    <dataValidation allowBlank="1" showInputMessage="1" showErrorMessage="1" promptTitle="Findings:" prompt="Highlight here the most important issues that were observed during the assessment and rating._x000a_This may concern the CUI management process and may also concern the assessment method itself. " sqref="F42:G43"/>
    <dataValidation type="custom" showInputMessage="1" showErrorMessage="1" errorTitle="Nota bene:" error="Deze cel is afgeschermd tegen wijziging, om ombedoelde verandering uit te sluiten." promptTitle="Overall result" prompt="The overall result, on a scale of 0 to 10, of the points identified below for the assessment." sqref="H3">
      <formula1>0</formula1>
    </dataValidation>
    <dataValidation type="custom" showInputMessage="1" showErrorMessage="1" errorTitle="Please note:" error="This cell is shielded from alteration in order to prevent unintended alteration." promptTitle="Result:" prompt="De result, on a scale from 1 to 10, of the aspects adressed below for assessment." sqref="D35 D27 D20 D13 D9 D4">
      <formula1>0</formula1>
    </dataValidation>
    <dataValidation type="custom" showInputMessage="1" showErrorMessage="1" errorTitle="Please note:" error="This cell is protected against change in order to prevent unintended changes." promptTitle="Result" prompt="The result, on a scale from 0 to 10, of the point presented in the column on the left for purpose of the assessement." sqref="J4 J11 J15 J18 J27 J30 J37">
      <formula1>0</formula1>
    </dataValidation>
    <dataValidation allowBlank="1" showInputMessage="1" showErrorMessage="1" promptTitle="Findings:" prompt="Please mark here the most important issues that came to light during the completion. This may concern the CUI management process and may also concern the assessment method." sqref="F41:G41 B39:C39"/>
    <dataValidation type="list" allowBlank="1" showInputMessage="1" showErrorMessage="1" promptTitle="Possible options::" prompt="0= not implemented_x000a_1= partly implemented, deviation with respect to. best practise_x000a_2= completely implemented according to the CUI best practise" sqref="D5:D8 D10:D12 D14:D19 D21:D26 D28:D34 D36:D37 H4:H39">
      <formula1>"0,1,2"</formula1>
    </dataValidation>
    <dataValidation allowBlank="1" showInputMessage="1" showErrorMessage="1" promptTitle="Findings:" prompt="Highlight here the most important issues that came to light during the filling in. This may concern the CUI management process and may also concern the assessment method. " sqref="B40:C43"/>
    <dataValidation type="custom" showInputMessage="1" showErrorMessage="1" errorTitle="Please note:" error="This cell is protected against change in order to prevent unintended changes." promptTitle="The main perspective" prompt="The perspective as per ISO HLS Management structure, which applies in order to manage a process adequately." sqref="I37 I30 I27 I18 I15 I11 I4">
      <formula1>0</formula1>
    </dataValidation>
    <dataValidation type="custom" showInputMessage="1" showErrorMessage="1" errorTitle="Please note:" error="This cell is protected against change in order to prevent unintended changes." sqref="F1 C2 G2">
      <formula1>0</formula1>
    </dataValidation>
  </dataValidations>
  <pageMargins left="0.70866141732283472" right="0.70866141732283472" top="0.74803149606299213" bottom="0.74803149606299213" header="0.31496062992125984" footer="0.31496062992125984"/>
  <pageSetup paperSize="9" scale="65" orientation="landscape" r:id="rId1"/>
  <ignoredErrors>
    <ignoredError sqref="J4:J11 J30:J37 J27:J29 J18:J26 J15:J17 J12:J14"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7"/>
  <sheetViews>
    <sheetView workbookViewId="0"/>
  </sheetViews>
  <sheetFormatPr defaultColWidth="0" defaultRowHeight="15" zeroHeight="1" x14ac:dyDescent="0.3"/>
  <cols>
    <col min="1" max="1" width="64.28515625" customWidth="1"/>
    <col min="2" max="2" width="64.140625" customWidth="1"/>
    <col min="3" max="3" width="3.5703125" customWidth="1"/>
    <col min="4" max="16384" width="9.140625" hidden="1"/>
  </cols>
  <sheetData>
    <row r="1" spans="1:2" ht="18" x14ac:dyDescent="0.35">
      <c r="A1" s="39" t="s">
        <v>195</v>
      </c>
    </row>
    <row r="2" spans="1:2" ht="266.25" customHeight="1" x14ac:dyDescent="0.3">
      <c r="B2" s="38" t="str">
        <f>"Overall result:"&amp;""&amp;ROUND('Gap-analysis'!H3,1)</f>
        <v>Overall result:2,9</v>
      </c>
    </row>
    <row r="3" spans="1:2" ht="18" x14ac:dyDescent="0.3">
      <c r="A3" s="156" t="s">
        <v>196</v>
      </c>
      <c r="B3" s="156"/>
    </row>
    <row r="4" spans="1:2" ht="18.75" x14ac:dyDescent="0.3">
      <c r="A4" s="41">
        <f>'Gap-analysis'!D4*'Gap-analysis'!D9*'Gap-analysis'!D13*'Gap-analysis'!D20*'Gap-analysis'!D27*'Gap-analysis'!D35/10^6</f>
        <v>3.1001984126984134E-3</v>
      </c>
      <c r="B4" s="41">
        <f>PRODUCT('Gap-analysis'!J4:J37)/10^7</f>
        <v>5.5114638447971785E-5</v>
      </c>
    </row>
    <row r="5" spans="1:2" ht="15.75" thickBot="1" x14ac:dyDescent="0.35">
      <c r="B5" s="122" t="s">
        <v>197</v>
      </c>
    </row>
    <row r="6" spans="1:2" x14ac:dyDescent="0.3">
      <c r="A6" s="125">
        <f ca="1">NOW()</f>
        <v>44606.926346412038</v>
      </c>
      <c r="B6" s="40" t="s">
        <v>256</v>
      </c>
    </row>
    <row r="7" spans="1:2" x14ac:dyDescent="0.3">
      <c r="A7" s="126" t="s">
        <v>255</v>
      </c>
      <c r="B7" s="40"/>
    </row>
  </sheetData>
  <mergeCells count="1">
    <mergeCell ref="A3:B3"/>
  </mergeCells>
  <dataValidations count="6">
    <dataValidation type="custom" showInputMessage="1" showErrorMessage="1" errorTitle="Nota bene:" error="Deze cel is afgeschermd om onbedoelde verandering van de resulaten te voorkomen." sqref="A6">
      <formula1>0</formula1>
    </dataValidation>
    <dataValidation type="custom" showInputMessage="1" showErrorMessage="1" errorTitle="Please note:" error="This cell is protected against changers in order to prevent accidental alteration of the results." promptTitle="Effectiveness reduction:" prompt="The product of all sub-results based on the applied tooling (so a number from 1-10) divided by 10." sqref="A4">
      <formula1>0</formula1>
    </dataValidation>
    <dataValidation type="custom" showInputMessage="1" showErrorMessage="1" errorTitle="Please note:" error="This cell is protected against changers in order to prevent accidental alteration of the results." promptTitle="Effectivity reduction- acc.2 HLS" prompt="The product of all subresults on the basis of the applied HLS structure (so number from 1-10) divided by 10." sqref="B4">
      <formula1>0</formula1>
    </dataValidation>
    <dataValidation type="custom" showInputMessage="1" showErrorMessage="1" errorTitle="Please note:" error="This cell is protected against changers in order to prevent accidental alteration of the results." promptTitle="Average score:" prompt="This is the average score according to HLS, measured over all points. This can be compared with the average report mark of a series of marks._x000a_This average does not guarantee that the conditions set will be met." sqref="B2">
      <formula1>0</formula1>
    </dataValidation>
    <dataValidation type="custom" showInputMessage="1" showErrorMessage="1" errorTitle="Please note:" error="This cell is protected against changers in order to prevent accidental alteration of the results." promptTitle="Comments wrt result:" prompt="Comments regarding the result can be placed here._x000a_Note that the effectiveness factor shows that each individual factor has a direct effect and is NOT offset by other factors._x000a_Therefore, the product of the factors is decisive." sqref="B5">
      <formula1>0</formula1>
    </dataValidation>
    <dataValidation type="custom" showInputMessage="1" showErrorMessage="1" errorTitle="Please note:" error="This cell is protected against changers in order to prevent accidental alteration of the results." sqref="A3:B3 A1 A2">
      <formula1>0</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G54"/>
  <sheetViews>
    <sheetView topLeftCell="A31" zoomScale="85" zoomScaleNormal="85" workbookViewId="0">
      <selection activeCell="A44" sqref="A44"/>
    </sheetView>
  </sheetViews>
  <sheetFormatPr defaultColWidth="0" defaultRowHeight="15" zeroHeight="1" x14ac:dyDescent="0.3"/>
  <cols>
    <col min="1" max="1" width="6.28515625" customWidth="1"/>
    <col min="2" max="2" width="20.28515625" customWidth="1"/>
    <col min="3" max="3" width="15.85546875" customWidth="1"/>
    <col min="4" max="4" width="15.28515625" customWidth="1"/>
    <col min="5" max="5" width="11" customWidth="1"/>
    <col min="6" max="6" width="15.42578125" customWidth="1"/>
    <col min="7" max="7" width="28.42578125" customWidth="1"/>
    <col min="8" max="8" width="19.7109375" customWidth="1"/>
    <col min="9" max="9" width="6.42578125" customWidth="1"/>
    <col min="10" max="14" width="9.140625" customWidth="1"/>
    <col min="15" max="15" width="2.85546875" customWidth="1"/>
    <col min="16" max="20" width="8.7109375" customWidth="1"/>
    <col min="21" max="21" width="2.85546875" customWidth="1"/>
    <col min="22" max="26" width="8.7109375" customWidth="1"/>
    <col min="27" max="27" width="3" customWidth="1"/>
    <col min="28" max="32" width="8.7109375" customWidth="1"/>
    <col min="33" max="33" width="2.42578125" customWidth="1"/>
    <col min="34" max="16384" width="9.140625" hidden="1"/>
  </cols>
  <sheetData>
    <row r="1" spans="2:33" ht="18.75" x14ac:dyDescent="0.3">
      <c r="B1" s="92" t="s">
        <v>243</v>
      </c>
      <c r="P1" s="9"/>
      <c r="Q1" s="9"/>
      <c r="R1" s="9"/>
      <c r="S1" s="9"/>
      <c r="T1" s="9"/>
      <c r="U1" s="9"/>
      <c r="V1" s="9"/>
      <c r="W1" s="9"/>
      <c r="X1" s="9"/>
      <c r="Y1" s="9"/>
      <c r="Z1" s="9"/>
      <c r="AA1" s="9"/>
      <c r="AB1" s="9"/>
      <c r="AC1" s="9"/>
      <c r="AD1" s="9"/>
      <c r="AE1" s="9"/>
      <c r="AF1" s="9"/>
      <c r="AG1" s="9"/>
    </row>
    <row r="2" spans="2:33" x14ac:dyDescent="0.3">
      <c r="B2" s="95" t="s">
        <v>205</v>
      </c>
      <c r="C2" s="96"/>
      <c r="P2" s="9"/>
      <c r="Q2" s="9"/>
      <c r="R2" s="9"/>
      <c r="S2" s="9"/>
      <c r="T2" s="9"/>
      <c r="U2" s="9"/>
      <c r="V2" s="9"/>
      <c r="W2" s="9"/>
      <c r="X2" s="9"/>
      <c r="Y2" s="9"/>
      <c r="Z2" s="9"/>
      <c r="AA2" s="9"/>
      <c r="AB2" s="9"/>
      <c r="AC2" s="9"/>
      <c r="AD2" s="9"/>
      <c r="AE2" s="9"/>
      <c r="AF2" s="9"/>
      <c r="AG2" s="9"/>
    </row>
    <row r="3" spans="2:33" x14ac:dyDescent="0.3">
      <c r="B3" s="2" t="s">
        <v>242</v>
      </c>
      <c r="P3" s="9"/>
      <c r="Q3" s="9"/>
      <c r="R3" s="9"/>
      <c r="S3" s="9"/>
      <c r="T3" s="9"/>
      <c r="U3" s="9"/>
      <c r="V3" s="9"/>
      <c r="W3" s="9"/>
      <c r="X3" s="9"/>
      <c r="Y3" s="9"/>
      <c r="Z3" s="9"/>
      <c r="AA3" s="9"/>
      <c r="AB3" s="9"/>
      <c r="AC3" s="9"/>
      <c r="AD3" s="9"/>
      <c r="AE3" s="9"/>
      <c r="AF3" s="9"/>
      <c r="AG3" s="9"/>
    </row>
    <row r="4" spans="2:33" x14ac:dyDescent="0.3">
      <c r="B4" s="2" t="s">
        <v>206</v>
      </c>
      <c r="P4" s="9"/>
      <c r="Q4" s="9"/>
      <c r="R4" s="9"/>
      <c r="S4" s="9"/>
      <c r="T4" s="9"/>
      <c r="U4" s="9"/>
      <c r="V4" s="9"/>
      <c r="W4" s="9"/>
      <c r="X4" s="9"/>
      <c r="Y4" s="9"/>
      <c r="Z4" s="9"/>
      <c r="AA4" s="9"/>
      <c r="AB4" s="9"/>
      <c r="AC4" s="9"/>
      <c r="AD4" s="9"/>
      <c r="AE4" s="9"/>
      <c r="AF4" s="9"/>
      <c r="AG4" s="9"/>
    </row>
    <row r="5" spans="2:33" x14ac:dyDescent="0.3">
      <c r="B5" s="2" t="s">
        <v>207</v>
      </c>
      <c r="P5" s="9"/>
      <c r="Q5" s="9"/>
      <c r="R5" s="9"/>
      <c r="S5" s="9"/>
      <c r="T5" s="9"/>
      <c r="U5" s="9"/>
      <c r="V5" s="9"/>
      <c r="W5" s="9"/>
      <c r="X5" s="9"/>
      <c r="Y5" s="9"/>
      <c r="Z5" s="9"/>
      <c r="AA5" s="9"/>
      <c r="AB5" s="9"/>
      <c r="AC5" s="9"/>
      <c r="AD5" s="9"/>
      <c r="AE5" s="9"/>
      <c r="AF5" s="9"/>
      <c r="AG5" s="9"/>
    </row>
    <row r="6" spans="2:33" x14ac:dyDescent="0.3">
      <c r="B6" s="2" t="s">
        <v>244</v>
      </c>
      <c r="P6" s="9"/>
      <c r="Q6" s="9"/>
      <c r="R6" s="9"/>
      <c r="S6" s="9"/>
      <c r="T6" s="9"/>
      <c r="U6" s="9"/>
      <c r="V6" s="9"/>
      <c r="W6" s="9"/>
      <c r="X6" s="9"/>
      <c r="Y6" s="9"/>
      <c r="Z6" s="9"/>
      <c r="AA6" s="9"/>
      <c r="AB6" s="9"/>
      <c r="AC6" s="9"/>
      <c r="AD6" s="9"/>
      <c r="AE6" s="9"/>
      <c r="AF6" s="9"/>
      <c r="AG6" s="9"/>
    </row>
    <row r="7" spans="2:33" x14ac:dyDescent="0.3">
      <c r="B7" s="2" t="s">
        <v>245</v>
      </c>
      <c r="P7" s="9"/>
      <c r="Q7" s="9"/>
      <c r="R7" s="9"/>
      <c r="S7" s="9"/>
      <c r="T7" s="9"/>
      <c r="U7" s="9"/>
      <c r="V7" s="9"/>
      <c r="W7" s="9"/>
      <c r="X7" s="9"/>
      <c r="Y7" s="9"/>
      <c r="Z7" s="9"/>
      <c r="AA7" s="9"/>
      <c r="AB7" s="9"/>
      <c r="AC7" s="9"/>
      <c r="AD7" s="9"/>
      <c r="AE7" s="9"/>
      <c r="AF7" s="9"/>
      <c r="AG7" s="9"/>
    </row>
    <row r="8" spans="2:33" x14ac:dyDescent="0.3">
      <c r="B8" s="2" t="s">
        <v>246</v>
      </c>
      <c r="P8" s="9"/>
      <c r="Q8" s="9"/>
      <c r="R8" s="9"/>
      <c r="S8" s="9"/>
      <c r="T8" s="9"/>
      <c r="U8" s="9"/>
      <c r="V8" s="9"/>
      <c r="W8" s="9"/>
      <c r="X8" s="9"/>
      <c r="Y8" s="9"/>
      <c r="Z8" s="9"/>
      <c r="AA8" s="9"/>
      <c r="AB8" s="9"/>
      <c r="AC8" s="9"/>
      <c r="AD8" s="9"/>
      <c r="AE8" s="9"/>
      <c r="AF8" s="9"/>
      <c r="AG8" s="9"/>
    </row>
    <row r="9" spans="2:33" ht="15.75" thickBot="1" x14ac:dyDescent="0.35">
      <c r="B9" s="112" t="s">
        <v>208</v>
      </c>
      <c r="C9" s="111"/>
      <c r="D9" s="113"/>
      <c r="E9" s="113"/>
      <c r="F9" s="113"/>
      <c r="G9" s="113"/>
      <c r="H9" s="112" t="s">
        <v>238</v>
      </c>
      <c r="I9" s="111"/>
      <c r="J9" s="113"/>
      <c r="K9" s="113"/>
      <c r="L9" s="113"/>
      <c r="M9" s="113"/>
      <c r="N9" s="113"/>
      <c r="P9" s="9"/>
      <c r="Q9" s="9"/>
      <c r="R9" s="9"/>
      <c r="S9" s="9"/>
      <c r="T9" s="9"/>
      <c r="U9" s="9"/>
      <c r="V9" s="9"/>
      <c r="W9" s="9"/>
      <c r="X9" s="9"/>
      <c r="Y9" s="9"/>
      <c r="Z9" s="9"/>
      <c r="AA9" s="9"/>
      <c r="AB9" s="9"/>
      <c r="AC9" s="9"/>
      <c r="AD9" s="9"/>
      <c r="AE9" s="9"/>
      <c r="AF9" s="9"/>
      <c r="AG9" s="9"/>
    </row>
    <row r="10" spans="2:33" ht="15.75" thickTop="1" x14ac:dyDescent="0.3">
      <c r="B10" s="118" t="s">
        <v>239</v>
      </c>
      <c r="C10" s="119"/>
      <c r="D10" s="119"/>
      <c r="E10" s="119"/>
      <c r="F10" s="119"/>
      <c r="G10" s="120"/>
      <c r="H10" s="157"/>
      <c r="I10" s="157"/>
      <c r="J10" s="157"/>
      <c r="K10" s="157"/>
      <c r="L10" s="157"/>
      <c r="M10" s="157"/>
      <c r="N10" s="157"/>
      <c r="P10" s="9"/>
      <c r="Q10" s="9"/>
      <c r="R10" s="9"/>
      <c r="S10" s="9"/>
      <c r="T10" s="9"/>
      <c r="U10" s="9"/>
      <c r="V10" s="9"/>
      <c r="W10" s="9"/>
      <c r="X10" s="9"/>
      <c r="Y10" s="9"/>
      <c r="Z10" s="9"/>
      <c r="AA10" s="9"/>
      <c r="AB10" s="9"/>
      <c r="AC10" s="9"/>
      <c r="AD10" s="9"/>
      <c r="AE10" s="9"/>
      <c r="AF10" s="9"/>
      <c r="AG10" s="9"/>
    </row>
    <row r="11" spans="2:33" x14ac:dyDescent="0.3">
      <c r="B11" s="121" t="s">
        <v>209</v>
      </c>
      <c r="C11" s="119"/>
      <c r="D11" s="119"/>
      <c r="E11" s="119"/>
      <c r="F11" s="119"/>
      <c r="G11" s="120"/>
      <c r="H11" s="160"/>
      <c r="I11" s="161"/>
      <c r="J11" s="161"/>
      <c r="K11" s="161"/>
      <c r="L11" s="161"/>
      <c r="M11" s="161"/>
      <c r="N11" s="162"/>
      <c r="P11" s="9"/>
      <c r="Q11" s="9"/>
      <c r="R11" s="9"/>
      <c r="S11" s="9"/>
      <c r="T11" s="9"/>
      <c r="U11" s="9"/>
      <c r="V11" s="9"/>
      <c r="W11" s="9"/>
      <c r="X11" s="9"/>
      <c r="Y11" s="9"/>
      <c r="Z11" s="9"/>
      <c r="AA11" s="9"/>
      <c r="AB11" s="9"/>
      <c r="AC11" s="9"/>
      <c r="AD11" s="9"/>
      <c r="AE11" s="9"/>
      <c r="AF11" s="9"/>
      <c r="AG11" s="9"/>
    </row>
    <row r="12" spans="2:33" x14ac:dyDescent="0.3">
      <c r="B12" s="118" t="s">
        <v>240</v>
      </c>
      <c r="C12" s="119"/>
      <c r="D12" s="119"/>
      <c r="E12" s="119"/>
      <c r="F12" s="119"/>
      <c r="G12" s="120"/>
      <c r="H12" s="157"/>
      <c r="I12" s="157"/>
      <c r="J12" s="157"/>
      <c r="K12" s="157"/>
      <c r="L12" s="157"/>
      <c r="M12" s="157"/>
      <c r="N12" s="157"/>
      <c r="P12" s="9"/>
      <c r="Q12" s="9"/>
      <c r="R12" s="9"/>
      <c r="S12" s="9"/>
      <c r="T12" s="9"/>
      <c r="U12" s="9"/>
      <c r="V12" s="9"/>
      <c r="W12" s="9"/>
      <c r="X12" s="9"/>
      <c r="Y12" s="9"/>
      <c r="Z12" s="9"/>
      <c r="AA12" s="9"/>
      <c r="AB12" s="9"/>
      <c r="AC12" s="9"/>
      <c r="AD12" s="9"/>
      <c r="AE12" s="9"/>
      <c r="AF12" s="9"/>
      <c r="AG12" s="9"/>
    </row>
    <row r="13" spans="2:33" x14ac:dyDescent="0.3">
      <c r="B13" s="118" t="s">
        <v>241</v>
      </c>
      <c r="C13" s="119"/>
      <c r="D13" s="119"/>
      <c r="E13" s="119"/>
      <c r="F13" s="119"/>
      <c r="G13" s="120"/>
      <c r="H13" s="157"/>
      <c r="I13" s="157"/>
      <c r="J13" s="157"/>
      <c r="K13" s="157"/>
      <c r="L13" s="157"/>
      <c r="M13" s="157"/>
      <c r="N13" s="157"/>
      <c r="P13" s="9"/>
      <c r="Q13" s="9"/>
      <c r="R13" s="9"/>
      <c r="S13" s="9"/>
      <c r="T13" s="9"/>
      <c r="U13" s="9"/>
      <c r="V13" s="9"/>
      <c r="W13" s="9"/>
      <c r="X13" s="9"/>
      <c r="Y13" s="9"/>
      <c r="Z13" s="9"/>
      <c r="AA13" s="9"/>
      <c r="AB13" s="9"/>
      <c r="AC13" s="9"/>
      <c r="AD13" s="9"/>
      <c r="AE13" s="9"/>
      <c r="AF13" s="9"/>
      <c r="AG13" s="9"/>
    </row>
    <row r="14" spans="2:33" x14ac:dyDescent="0.3">
      <c r="B14" s="118" t="s">
        <v>210</v>
      </c>
      <c r="C14" s="119"/>
      <c r="D14" s="119"/>
      <c r="E14" s="119"/>
      <c r="F14" s="119"/>
      <c r="G14" s="120"/>
      <c r="H14" s="157"/>
      <c r="I14" s="157"/>
      <c r="J14" s="157"/>
      <c r="K14" s="157"/>
      <c r="L14" s="157"/>
      <c r="M14" s="157"/>
      <c r="N14" s="157"/>
      <c r="P14" s="9"/>
      <c r="Q14" s="9"/>
      <c r="R14" s="9"/>
      <c r="S14" s="9"/>
      <c r="T14" s="9"/>
      <c r="U14" s="9"/>
      <c r="V14" s="9"/>
      <c r="W14" s="9"/>
      <c r="X14" s="9"/>
      <c r="Y14" s="9"/>
      <c r="Z14" s="9"/>
      <c r="AA14" s="9"/>
      <c r="AB14" s="9"/>
      <c r="AC14" s="9"/>
      <c r="AD14" s="9"/>
      <c r="AE14" s="9"/>
      <c r="AF14" s="9"/>
      <c r="AG14" s="9"/>
    </row>
    <row r="15" spans="2:33" ht="15.75" thickBot="1" x14ac:dyDescent="0.35">
      <c r="B15" s="95" t="s">
        <v>211</v>
      </c>
      <c r="C15" s="96"/>
      <c r="G15" s="95" t="s">
        <v>234</v>
      </c>
      <c r="H15" s="96"/>
      <c r="I15" s="96"/>
      <c r="J15" s="40"/>
      <c r="K15" s="40"/>
      <c r="L15" s="40"/>
      <c r="M15" s="40"/>
      <c r="N15" s="40"/>
      <c r="P15" s="9"/>
      <c r="Q15" s="9"/>
      <c r="R15" s="9"/>
      <c r="S15" s="9"/>
      <c r="T15" s="9"/>
      <c r="U15" s="9"/>
      <c r="V15" s="9"/>
      <c r="W15" s="9"/>
      <c r="X15" s="9"/>
      <c r="Y15" s="9"/>
      <c r="Z15" s="9"/>
      <c r="AA15" s="9"/>
      <c r="AB15" s="9"/>
      <c r="AC15" s="9"/>
      <c r="AD15" s="9"/>
      <c r="AE15" s="9"/>
      <c r="AF15" s="9"/>
      <c r="AG15" s="9"/>
    </row>
    <row r="16" spans="2:33" x14ac:dyDescent="0.3">
      <c r="B16" s="93" t="s">
        <v>235</v>
      </c>
      <c r="C16" s="6" t="s">
        <v>236</v>
      </c>
      <c r="D16" s="140" t="s">
        <v>237</v>
      </c>
      <c r="G16" s="93" t="s">
        <v>233</v>
      </c>
      <c r="H16" s="136">
        <v>500</v>
      </c>
      <c r="L16" s="100" t="s">
        <v>213</v>
      </c>
      <c r="M16" s="98"/>
      <c r="N16" s="99"/>
      <c r="P16" s="9"/>
      <c r="Q16" s="9"/>
      <c r="R16" s="9"/>
      <c r="S16" s="9"/>
      <c r="T16" s="9"/>
      <c r="U16" s="9"/>
      <c r="V16" s="9"/>
      <c r="W16" s="9"/>
      <c r="X16" s="9"/>
      <c r="Y16" s="9"/>
      <c r="Z16" s="9"/>
      <c r="AA16" s="9"/>
      <c r="AB16" s="9"/>
      <c r="AC16" s="9"/>
      <c r="AD16" s="9"/>
      <c r="AE16" s="9"/>
      <c r="AF16" s="9"/>
      <c r="AG16" s="9"/>
    </row>
    <row r="17" spans="1:33" ht="15.75" thickBot="1" x14ac:dyDescent="0.35">
      <c r="B17" s="94" t="s">
        <v>212</v>
      </c>
      <c r="C17" s="149"/>
      <c r="D17" s="137">
        <f>INDEX(Risk_MOTBF,FIND(LEFT(C16,1),"Y_U_N"),IFERROR(IF(SEARCH("E",CONCATENATE(C17,C18,C19,C20,C21,C22,C23))&gt;0,5,0),IFERROR(IF(SEARCH("D",CONCATENATE(C17,C18,C19,C20,C21,C22,C23))&gt;0,4,0),IFERROR(IF(SEARCH("C",CONCATENATE(C17,C18,C19,C20,C21,C22,C23))&gt;0,3,0),IFERROR(IF(SEARCH("B",CONCATENATE(C17,C18,C19,C20,C21,C22,C23))&gt;0,2,0),IFERROR(IF(SEARCH("A",CONCATENATE(C17,C18,C19,C20,C21,C22,C23))&gt;0,1,0),"?"))))))</f>
        <v>1100</v>
      </c>
      <c r="L17" s="135" t="s">
        <v>214</v>
      </c>
      <c r="M17" s="134" t="s">
        <v>97</v>
      </c>
      <c r="N17" s="133" t="s">
        <v>215</v>
      </c>
      <c r="P17" s="9"/>
      <c r="Q17" s="9"/>
      <c r="R17" s="9"/>
      <c r="S17" s="9"/>
      <c r="T17" s="9"/>
      <c r="U17" s="9"/>
      <c r="V17" s="9"/>
      <c r="W17" s="9"/>
      <c r="X17" s="9"/>
      <c r="Y17" s="9"/>
      <c r="Z17" s="9"/>
      <c r="AA17" s="9"/>
      <c r="AB17" s="9"/>
      <c r="AC17" s="9"/>
      <c r="AD17" s="9"/>
      <c r="AE17" s="9"/>
      <c r="AF17" s="9"/>
      <c r="AG17" s="9"/>
    </row>
    <row r="18" spans="1:33" x14ac:dyDescent="0.3">
      <c r="B18" s="94" t="s">
        <v>91</v>
      </c>
      <c r="C18" s="149" t="s">
        <v>51</v>
      </c>
      <c r="D18" s="102"/>
      <c r="E18" s="145">
        <f>Result!A4</f>
        <v>3.1001984126984134E-3</v>
      </c>
      <c r="F18" s="146">
        <f>(1-E18)*$D$17</f>
        <v>1096.5897817460318</v>
      </c>
      <c r="L18" s="108" t="s">
        <v>49</v>
      </c>
      <c r="M18" s="114">
        <v>0.99</v>
      </c>
      <c r="N18" s="116">
        <v>1</v>
      </c>
      <c r="P18" s="9"/>
      <c r="Q18" s="9"/>
      <c r="R18" s="9"/>
      <c r="S18" s="9"/>
      <c r="T18" s="9"/>
      <c r="U18" s="9"/>
      <c r="V18" s="9"/>
      <c r="W18" s="9"/>
      <c r="X18" s="9"/>
      <c r="Y18" s="9"/>
      <c r="Z18" s="9"/>
      <c r="AA18" s="9"/>
      <c r="AB18" s="9"/>
      <c r="AC18" s="9"/>
      <c r="AD18" s="9"/>
      <c r="AE18" s="9"/>
      <c r="AF18" s="9"/>
      <c r="AG18" s="9"/>
    </row>
    <row r="19" spans="1:33" x14ac:dyDescent="0.3">
      <c r="B19" s="94" t="s">
        <v>92</v>
      </c>
      <c r="C19" s="149"/>
      <c r="D19" s="103"/>
      <c r="E19" s="147">
        <f>Result!B4</f>
        <v>5.5114638447971785E-5</v>
      </c>
      <c r="F19" s="148">
        <f>(1-E19)*$D$17</f>
        <v>1099.9393738977071</v>
      </c>
      <c r="L19" s="109" t="s">
        <v>50</v>
      </c>
      <c r="M19" s="114">
        <v>0.9</v>
      </c>
      <c r="N19" s="116">
        <v>0.65</v>
      </c>
      <c r="P19" s="9"/>
      <c r="Q19" s="9"/>
      <c r="R19" s="9"/>
      <c r="S19" s="9"/>
      <c r="T19" s="9"/>
      <c r="U19" s="9"/>
      <c r="V19" s="9"/>
      <c r="W19" s="9"/>
      <c r="X19" s="9"/>
      <c r="Y19" s="9"/>
      <c r="Z19" s="9"/>
      <c r="AA19" s="9"/>
      <c r="AB19" s="9"/>
      <c r="AC19" s="9"/>
      <c r="AD19" s="9"/>
      <c r="AE19" s="9"/>
      <c r="AF19" s="9"/>
      <c r="AG19" s="9"/>
    </row>
    <row r="20" spans="1:33" x14ac:dyDescent="0.3">
      <c r="B20" s="94" t="s">
        <v>93</v>
      </c>
      <c r="C20" s="149" t="s">
        <v>50</v>
      </c>
      <c r="D20" s="104"/>
      <c r="G20" s="141">
        <f>AVERAGE(F18:F19)</f>
        <v>1098.2645778218694</v>
      </c>
      <c r="H20" s="142"/>
      <c r="L20" s="109" t="s">
        <v>51</v>
      </c>
      <c r="M20" s="114">
        <v>0.7</v>
      </c>
      <c r="N20" s="116">
        <v>0.35</v>
      </c>
      <c r="P20" s="9"/>
      <c r="Q20" s="9"/>
      <c r="R20" s="9"/>
      <c r="S20" s="9"/>
      <c r="T20" s="9"/>
      <c r="U20" s="9"/>
      <c r="V20" s="9"/>
      <c r="W20" s="9"/>
      <c r="X20" s="9"/>
      <c r="Y20" s="9"/>
      <c r="Z20" s="9"/>
      <c r="AA20" s="9"/>
      <c r="AB20" s="9"/>
      <c r="AC20" s="9"/>
      <c r="AD20" s="9"/>
      <c r="AE20" s="9"/>
      <c r="AF20" s="9"/>
      <c r="AG20" s="9"/>
    </row>
    <row r="21" spans="1:33" x14ac:dyDescent="0.3">
      <c r="B21" s="94" t="s">
        <v>94</v>
      </c>
      <c r="C21" s="149"/>
      <c r="D21" s="104"/>
      <c r="G21" s="143">
        <f>ABS(F18-F19)/2</f>
        <v>1.6747960758376621</v>
      </c>
      <c r="H21" s="144">
        <f>G21/G20</f>
        <v>1.5249477308639031E-3</v>
      </c>
      <c r="L21" s="109" t="s">
        <v>52</v>
      </c>
      <c r="M21" s="114">
        <v>0.3</v>
      </c>
      <c r="N21" s="116">
        <v>0.05</v>
      </c>
      <c r="P21" s="9"/>
      <c r="Q21" s="9"/>
      <c r="R21" s="9"/>
      <c r="S21" s="9"/>
      <c r="T21" s="9"/>
      <c r="U21" s="9"/>
      <c r="V21" s="9"/>
      <c r="W21" s="9"/>
      <c r="X21" s="9"/>
      <c r="Y21" s="9"/>
      <c r="Z21" s="9"/>
      <c r="AA21" s="9"/>
      <c r="AB21" s="9"/>
      <c r="AC21" s="9"/>
      <c r="AD21" s="9"/>
      <c r="AE21" s="9"/>
      <c r="AF21" s="9"/>
      <c r="AG21" s="9"/>
    </row>
    <row r="22" spans="1:33" ht="15.75" thickBot="1" x14ac:dyDescent="0.35">
      <c r="B22" s="94" t="s">
        <v>95</v>
      </c>
      <c r="C22" s="149" t="s">
        <v>51</v>
      </c>
      <c r="D22" s="104"/>
      <c r="G22" s="97" t="s">
        <v>98</v>
      </c>
      <c r="L22" s="110" t="s">
        <v>53</v>
      </c>
      <c r="M22" s="115">
        <v>0</v>
      </c>
      <c r="N22" s="117"/>
      <c r="P22" s="9"/>
      <c r="Q22" s="9"/>
      <c r="R22" s="9"/>
      <c r="S22" s="9"/>
      <c r="T22" s="9"/>
      <c r="U22" s="9"/>
      <c r="V22" s="9"/>
      <c r="W22" s="9"/>
      <c r="X22" s="9"/>
      <c r="Y22" s="9"/>
      <c r="Z22" s="9"/>
      <c r="AA22" s="9"/>
      <c r="AB22" s="9"/>
      <c r="AC22" s="9"/>
      <c r="AD22" s="9"/>
      <c r="AE22" s="9"/>
      <c r="AF22" s="9"/>
      <c r="AG22" s="9"/>
    </row>
    <row r="23" spans="1:33" ht="15.75" thickBot="1" x14ac:dyDescent="0.35">
      <c r="B23" s="94" t="s">
        <v>96</v>
      </c>
      <c r="C23" s="149"/>
      <c r="D23" s="105"/>
      <c r="G23" s="138">
        <f>G20-G25</f>
        <v>988.43812003968242</v>
      </c>
      <c r="H23" s="139">
        <f>G23-H16</f>
        <v>488.43812003968242</v>
      </c>
      <c r="L23" s="101"/>
      <c r="P23" s="9"/>
      <c r="Q23" s="9"/>
      <c r="R23" s="9"/>
      <c r="S23" s="9"/>
      <c r="T23" s="9"/>
      <c r="U23" s="9"/>
      <c r="V23" s="9"/>
      <c r="W23" s="9"/>
      <c r="X23" s="9"/>
      <c r="Y23" s="9"/>
      <c r="Z23" s="9"/>
      <c r="AA23" s="9"/>
      <c r="AB23" s="9"/>
      <c r="AC23" s="9"/>
      <c r="AD23" s="9"/>
      <c r="AE23" s="9"/>
      <c r="AF23" s="9"/>
      <c r="AG23" s="9"/>
    </row>
    <row r="24" spans="1:33" x14ac:dyDescent="0.3">
      <c r="B24" s="94"/>
      <c r="G24" s="97" t="s">
        <v>99</v>
      </c>
      <c r="L24" s="101"/>
      <c r="P24" s="9"/>
      <c r="Q24" s="9"/>
      <c r="R24" s="9"/>
      <c r="S24" s="9"/>
      <c r="T24" s="9"/>
      <c r="U24" s="9"/>
      <c r="V24" s="9"/>
      <c r="W24" s="9"/>
      <c r="X24" s="9"/>
      <c r="Y24" s="9"/>
      <c r="Z24" s="9"/>
      <c r="AA24" s="9"/>
      <c r="AB24" s="9"/>
      <c r="AC24" s="9"/>
      <c r="AD24" s="9"/>
      <c r="AE24" s="9"/>
      <c r="AF24" s="9"/>
      <c r="AG24" s="9"/>
    </row>
    <row r="25" spans="1:33" x14ac:dyDescent="0.3">
      <c r="A25" s="101"/>
      <c r="B25" s="129" t="s">
        <v>232</v>
      </c>
      <c r="C25" s="150" t="s">
        <v>50</v>
      </c>
      <c r="D25" s="106">
        <f>VLOOKUP(C25,NDTEff,2,FALSE)</f>
        <v>0.9</v>
      </c>
      <c r="E25" s="107" t="s">
        <v>100</v>
      </c>
      <c r="F25" s="107" t="s">
        <v>100</v>
      </c>
      <c r="G25" s="128">
        <f>(1-D25)*G20</f>
        <v>109.82645778218691</v>
      </c>
      <c r="H25" s="101"/>
      <c r="I25" s="101"/>
      <c r="J25" s="101"/>
      <c r="K25" s="101"/>
      <c r="L25" s="101"/>
      <c r="P25" s="9"/>
      <c r="Q25" s="9"/>
      <c r="R25" s="9"/>
      <c r="S25" s="9"/>
      <c r="T25" s="9"/>
      <c r="U25" s="9"/>
      <c r="V25" s="9"/>
      <c r="W25" s="9"/>
      <c r="X25" s="9"/>
      <c r="Y25" s="9"/>
      <c r="Z25" s="9"/>
      <c r="AA25" s="9"/>
      <c r="AB25" s="9"/>
      <c r="AC25" s="9"/>
      <c r="AD25" s="9"/>
      <c r="AE25" s="9"/>
      <c r="AF25" s="9"/>
      <c r="AG25" s="9"/>
    </row>
    <row r="26" spans="1:33" x14ac:dyDescent="0.3">
      <c r="B26" s="2"/>
    </row>
    <row r="27" spans="1:33" ht="18" x14ac:dyDescent="0.35">
      <c r="B27" s="42" t="s">
        <v>5</v>
      </c>
      <c r="E27" s="43" t="s">
        <v>231</v>
      </c>
      <c r="O27" s="44"/>
      <c r="P27" s="1" t="s">
        <v>6</v>
      </c>
      <c r="R27" s="45" t="s">
        <v>7</v>
      </c>
      <c r="U27" s="44"/>
      <c r="V27" s="1" t="s">
        <v>8</v>
      </c>
      <c r="X27" s="45" t="s">
        <v>7</v>
      </c>
      <c r="AA27" s="44"/>
      <c r="AB27" s="1" t="s">
        <v>9</v>
      </c>
      <c r="AE27" s="45" t="s">
        <v>10</v>
      </c>
      <c r="AG27" s="44"/>
    </row>
    <row r="28" spans="1:33" ht="15.75" thickBot="1" x14ac:dyDescent="0.35">
      <c r="B28" s="46" t="s">
        <v>10</v>
      </c>
      <c r="C28" s="46" t="s">
        <v>11</v>
      </c>
      <c r="D28" s="46" t="s">
        <v>12</v>
      </c>
      <c r="E28" s="46" t="s">
        <v>13</v>
      </c>
      <c r="F28" s="46" t="s">
        <v>14</v>
      </c>
      <c r="G28" s="46" t="s">
        <v>15</v>
      </c>
      <c r="H28" s="46" t="s">
        <v>261</v>
      </c>
      <c r="I28" s="46" t="s">
        <v>16</v>
      </c>
      <c r="O28" s="44"/>
      <c r="P28" s="47" t="str">
        <f>"&lt;"&amp;Q28</f>
        <v>&lt;0,000005</v>
      </c>
      <c r="Q28" s="48">
        <v>5.0000000000000004E-6</v>
      </c>
      <c r="R28" s="49">
        <v>5.0000000000000001E-4</v>
      </c>
      <c r="S28" s="50">
        <v>0.05</v>
      </c>
      <c r="T28" s="51">
        <v>5</v>
      </c>
      <c r="U28" s="44"/>
      <c r="V28" s="47" t="str">
        <f>"&lt;"&amp;W28</f>
        <v>&lt;0,0005</v>
      </c>
      <c r="W28" s="48">
        <v>5.0000000000000001E-4</v>
      </c>
      <c r="X28" s="49">
        <v>0.05</v>
      </c>
      <c r="Y28" s="50">
        <v>5</v>
      </c>
      <c r="Z28" s="51">
        <v>500</v>
      </c>
      <c r="AA28" s="44"/>
      <c r="AB28" s="47" t="str">
        <f>"&lt;"&amp;AC28</f>
        <v>&lt;0,01</v>
      </c>
      <c r="AC28" s="48">
        <v>0.01</v>
      </c>
      <c r="AD28" s="49">
        <v>1</v>
      </c>
      <c r="AE28" s="50">
        <v>100</v>
      </c>
      <c r="AF28" s="51">
        <v>10000</v>
      </c>
      <c r="AG28" s="44"/>
    </row>
    <row r="29" spans="1:33" ht="60" x14ac:dyDescent="0.3">
      <c r="A29" s="159" t="s">
        <v>17</v>
      </c>
      <c r="B29" s="52" t="s">
        <v>18</v>
      </c>
      <c r="C29" s="53">
        <v>0</v>
      </c>
      <c r="D29" s="54" t="s">
        <v>19</v>
      </c>
      <c r="E29" s="55">
        <v>1</v>
      </c>
      <c r="F29" s="54" t="s">
        <v>20</v>
      </c>
      <c r="G29" s="40" t="s">
        <v>21</v>
      </c>
      <c r="H29" s="40" t="s">
        <v>22</v>
      </c>
      <c r="I29" s="56">
        <v>5</v>
      </c>
      <c r="J29" s="57"/>
      <c r="K29" s="58"/>
      <c r="L29" s="58"/>
      <c r="M29" s="59"/>
      <c r="N29" s="60" t="s">
        <v>23</v>
      </c>
      <c r="P29" s="54">
        <f>0.1*$E$38*10^-2</f>
        <v>0.01</v>
      </c>
      <c r="Q29" s="54">
        <f>0.1*$E$39*10^-2</f>
        <v>0.1</v>
      </c>
      <c r="R29" s="61">
        <f>0.1*$E$40*10^-2</f>
        <v>1</v>
      </c>
      <c r="S29" s="61">
        <f>0.1*$E$41*10^-2</f>
        <v>10</v>
      </c>
      <c r="T29" s="61">
        <f>1*$E$41*10^-2</f>
        <v>100</v>
      </c>
      <c r="V29" s="61">
        <f>$E$38*10^-1</f>
        <v>1</v>
      </c>
      <c r="W29" s="61">
        <f>$E$39*10^-1</f>
        <v>10</v>
      </c>
      <c r="X29" s="61">
        <f>$E$40*10^-1</f>
        <v>100</v>
      </c>
      <c r="Y29" s="61">
        <f>$E$41*10^-1</f>
        <v>1000</v>
      </c>
      <c r="Z29" s="61">
        <f>10*$E$41*10^-1</f>
        <v>10000</v>
      </c>
      <c r="AB29" s="61">
        <f>((0+10)/2)/((0+1)/2)</f>
        <v>10</v>
      </c>
      <c r="AC29" s="61">
        <f>((10+100)/2)/((0+1)/2)</f>
        <v>110</v>
      </c>
      <c r="AD29" s="61">
        <f>((100+1000)/2)/((0+1)/2)</f>
        <v>1100</v>
      </c>
      <c r="AE29" s="61">
        <f>((1000+10000)/2)/((0+1)/2)</f>
        <v>11000</v>
      </c>
      <c r="AF29" s="61">
        <f>(10000*AVERAGE(5,5.5,5.5,5.5))/((0+1)/2)</f>
        <v>107500</v>
      </c>
    </row>
    <row r="30" spans="1:33" ht="60" x14ac:dyDescent="0.3">
      <c r="A30" s="159"/>
      <c r="B30" s="52" t="s">
        <v>24</v>
      </c>
      <c r="C30" s="53">
        <v>1</v>
      </c>
      <c r="D30" s="54" t="s">
        <v>25</v>
      </c>
      <c r="E30" s="55">
        <v>0.01</v>
      </c>
      <c r="F30" s="54" t="s">
        <v>26</v>
      </c>
      <c r="G30" s="40" t="s">
        <v>27</v>
      </c>
      <c r="H30" s="40" t="s">
        <v>28</v>
      </c>
      <c r="I30" s="56">
        <v>4</v>
      </c>
      <c r="J30" s="57"/>
      <c r="K30" s="57"/>
      <c r="L30" s="58"/>
      <c r="M30" s="58" t="s">
        <v>29</v>
      </c>
      <c r="N30" s="59"/>
      <c r="P30" s="54">
        <f>0.1*$E$38*10^-3</f>
        <v>1E-3</v>
      </c>
      <c r="Q30" s="54">
        <f>0.1*$E$39*10^-3</f>
        <v>0.01</v>
      </c>
      <c r="R30" s="54">
        <f>0.1*$E$40*10^-3</f>
        <v>0.1</v>
      </c>
      <c r="S30" s="61">
        <f>0.1*$E$41*10^-3</f>
        <v>1</v>
      </c>
      <c r="T30" s="61">
        <f>1*$E$41*10^-3</f>
        <v>10</v>
      </c>
      <c r="V30" s="62">
        <f>$E$38*10^-2</f>
        <v>0.1</v>
      </c>
      <c r="W30" s="61">
        <f>$E$39*10^-2</f>
        <v>1</v>
      </c>
      <c r="X30" s="61">
        <f>$E$40*10^-2</f>
        <v>10</v>
      </c>
      <c r="Y30" s="61">
        <f>$E$41*10^-2</f>
        <v>100</v>
      </c>
      <c r="Z30" s="61">
        <f>10*$E$41*10^-2</f>
        <v>1000</v>
      </c>
      <c r="AB30" s="63">
        <f>((0+10)/2)/((1+5)/2)</f>
        <v>1.6666666666666667</v>
      </c>
      <c r="AC30" s="61">
        <f>((10+100)/2)/((1+5)/2)</f>
        <v>18.333333333333332</v>
      </c>
      <c r="AD30" s="61">
        <f>((100+1000)/2)/((1+5)/2)</f>
        <v>183.33333333333334</v>
      </c>
      <c r="AE30" s="61">
        <f>((1000+10000)/2)/((1+5)/2)</f>
        <v>1833.3333333333333</v>
      </c>
      <c r="AF30" s="61">
        <f>(10000*AVERAGE(5,5.5,5.5,5.5))/((1+5)/2)</f>
        <v>17916.666666666668</v>
      </c>
    </row>
    <row r="31" spans="1:33" ht="75" x14ac:dyDescent="0.3">
      <c r="A31" s="159"/>
      <c r="B31" s="52" t="s">
        <v>30</v>
      </c>
      <c r="C31" s="53">
        <v>5</v>
      </c>
      <c r="D31" s="54" t="s">
        <v>31</v>
      </c>
      <c r="E31" s="55">
        <f>E30/10</f>
        <v>1E-3</v>
      </c>
      <c r="F31" s="54" t="s">
        <v>32</v>
      </c>
      <c r="G31" s="40" t="s">
        <v>33</v>
      </c>
      <c r="H31" s="40" t="s">
        <v>34</v>
      </c>
      <c r="I31" s="56">
        <v>3</v>
      </c>
      <c r="J31" s="64"/>
      <c r="K31" s="57"/>
      <c r="L31" s="57" t="s">
        <v>35</v>
      </c>
      <c r="M31" s="58"/>
      <c r="N31" s="58"/>
      <c r="P31" s="54">
        <f>0.1*$E$38*10^-4</f>
        <v>1E-4</v>
      </c>
      <c r="Q31" s="54">
        <f>0.1*$E$39*10^-4</f>
        <v>1E-3</v>
      </c>
      <c r="R31" s="54">
        <f>0.1*$E$40*10^-4</f>
        <v>0.01</v>
      </c>
      <c r="S31" s="54">
        <f>0.1*$E$41*10^-4</f>
        <v>0.1</v>
      </c>
      <c r="T31" s="61">
        <f>1*$E$41*10^-4</f>
        <v>1</v>
      </c>
      <c r="V31" s="62">
        <f>$E$38*10^-3</f>
        <v>0.01</v>
      </c>
      <c r="W31" s="62">
        <f>$E$39*10^-3</f>
        <v>0.1</v>
      </c>
      <c r="X31" s="61">
        <f>$E$40*10^-3</f>
        <v>1</v>
      </c>
      <c r="Y31" s="61">
        <f>$E$41*10^-3</f>
        <v>10</v>
      </c>
      <c r="Z31" s="61">
        <f>10*$E$41*10^-3</f>
        <v>100</v>
      </c>
      <c r="AB31" s="63">
        <f>((0+10)/2)/((5+25)/2)</f>
        <v>0.33333333333333331</v>
      </c>
      <c r="AC31" s="63">
        <f>((10+100)/2)/((5+25)/2)</f>
        <v>3.6666666666666665</v>
      </c>
      <c r="AD31" s="61">
        <f>((100+1000)/2)/((5+25)/2)</f>
        <v>36.666666666666664</v>
      </c>
      <c r="AE31" s="61">
        <f>((1000+10000)/2)/((5+25)/2)</f>
        <v>366.66666666666669</v>
      </c>
      <c r="AF31" s="61">
        <f>(10000*AVERAGE(5,5.5,5.5,5.5))/((5+25)/2)</f>
        <v>3583.3333333333335</v>
      </c>
    </row>
    <row r="32" spans="1:33" ht="75" x14ac:dyDescent="0.3">
      <c r="A32" s="159"/>
      <c r="B32" s="52" t="s">
        <v>36</v>
      </c>
      <c r="C32" s="53">
        <v>25</v>
      </c>
      <c r="D32" s="54" t="s">
        <v>37</v>
      </c>
      <c r="E32" s="55">
        <f>E31/10</f>
        <v>1E-4</v>
      </c>
      <c r="F32" s="54" t="s">
        <v>38</v>
      </c>
      <c r="G32" s="40" t="s">
        <v>39</v>
      </c>
      <c r="H32" s="40" t="s">
        <v>40</v>
      </c>
      <c r="I32" s="56">
        <v>2</v>
      </c>
      <c r="J32" s="64"/>
      <c r="K32" s="64" t="s">
        <v>41</v>
      </c>
      <c r="L32" s="57"/>
      <c r="M32" s="57"/>
      <c r="N32" s="58"/>
      <c r="P32" s="54">
        <f>0.1*$E$38*10^-5</f>
        <v>1.0000000000000001E-5</v>
      </c>
      <c r="Q32" s="54">
        <f>0.1*$E$39*10^-5</f>
        <v>1E-4</v>
      </c>
      <c r="R32" s="54">
        <f>0.1*$E$40*10^-5</f>
        <v>1E-3</v>
      </c>
      <c r="S32" s="54">
        <f>0.1*$E$41*10^-5</f>
        <v>0.01</v>
      </c>
      <c r="T32" s="54">
        <f>1*$E$41*10^-5</f>
        <v>0.1</v>
      </c>
      <c r="V32" s="62">
        <f>$E$38*10^-4</f>
        <v>1E-3</v>
      </c>
      <c r="W32" s="62">
        <f>$E$39*10^-4</f>
        <v>0.01</v>
      </c>
      <c r="X32" s="62">
        <f>$E$40*10^-4</f>
        <v>0.1</v>
      </c>
      <c r="Y32" s="61">
        <f>$E$41*10^-4</f>
        <v>1</v>
      </c>
      <c r="Z32" s="61">
        <f>10*$E$41*10^-4</f>
        <v>10</v>
      </c>
      <c r="AB32" s="65">
        <f>((0+10)/2)/((25+125)/2)</f>
        <v>6.6666666666666666E-2</v>
      </c>
      <c r="AC32" s="65">
        <f>((10+100)/2)/((25+125)/2)</f>
        <v>0.73333333333333328</v>
      </c>
      <c r="AD32" s="65">
        <f>((100+1000)/2)/((25+125)/2)</f>
        <v>7.333333333333333</v>
      </c>
      <c r="AE32" s="61">
        <f>((1000+10000)/2)/((25+125)/2)</f>
        <v>73.333333333333329</v>
      </c>
      <c r="AF32" s="61">
        <f>(10000*AVERAGE(5,5.5,5.5,5.5))/((25+125)/2)</f>
        <v>716.66666666666663</v>
      </c>
    </row>
    <row r="33" spans="1:32" ht="45" x14ac:dyDescent="0.3">
      <c r="A33" s="159"/>
      <c r="B33" s="52" t="s">
        <v>42</v>
      </c>
      <c r="C33" s="53">
        <v>125</v>
      </c>
      <c r="D33" s="54" t="s">
        <v>43</v>
      </c>
      <c r="E33" s="55">
        <f>E32/10</f>
        <v>1.0000000000000001E-5</v>
      </c>
      <c r="F33" s="54" t="s">
        <v>44</v>
      </c>
      <c r="G33" s="40" t="s">
        <v>45</v>
      </c>
      <c r="H33" s="40" t="s">
        <v>46</v>
      </c>
      <c r="I33" s="56">
        <v>1</v>
      </c>
      <c r="J33" s="66" t="s">
        <v>47</v>
      </c>
      <c r="K33" s="64"/>
      <c r="L33" s="64"/>
      <c r="M33" s="57"/>
      <c r="N33" s="57"/>
      <c r="P33" s="54">
        <f>0.1*$E$38*10^-6</f>
        <v>9.9999999999999995E-7</v>
      </c>
      <c r="Q33" s="54">
        <f>0.1*$E$39*10^-6</f>
        <v>9.9999999999999991E-6</v>
      </c>
      <c r="R33" s="54">
        <f>0.1*$E$40*10^-6</f>
        <v>9.9999999999999991E-5</v>
      </c>
      <c r="S33" s="54">
        <f>0.1*$E$41*10^-6</f>
        <v>1E-3</v>
      </c>
      <c r="T33" s="54">
        <f>1*$E$41*10^-6</f>
        <v>0.01</v>
      </c>
      <c r="V33" s="62">
        <f>$E$38*10^-5</f>
        <v>1E-4</v>
      </c>
      <c r="W33" s="62">
        <f>$E$39*10^-5</f>
        <v>1E-3</v>
      </c>
      <c r="X33" s="62">
        <f>$E$40*10^-5</f>
        <v>0.01</v>
      </c>
      <c r="Y33" s="62">
        <f>$E$41*10^-5</f>
        <v>0.1</v>
      </c>
      <c r="Z33" s="61">
        <f>10*$E$41*10^-5</f>
        <v>1</v>
      </c>
      <c r="AB33" s="65">
        <f>((0+10)/2)/(125*(AVERAGE(3/0.5,15/3,75/30)))</f>
        <v>8.8888888888888889E-3</v>
      </c>
      <c r="AC33" s="65">
        <f>((10+100)/2)/(125*(AVERAGE(3/0.5,15/3,75/30)))</f>
        <v>9.7777777777777783E-2</v>
      </c>
      <c r="AD33" s="65">
        <f>((100+1000)/2)/(125*(AVERAGE(3/0.5,15/3,75/30)))</f>
        <v>0.97777777777777775</v>
      </c>
      <c r="AE33" s="65">
        <f>((1000+10000)/2)/(125*(AVERAGE(3/0.5,15/3,75/30)))</f>
        <v>9.7777777777777786</v>
      </c>
      <c r="AF33" s="61">
        <f>(10000*AVERAGE(5,5.5,5.5,5.5))/(125*(AVERAGE(3/0.5,15/3,75/30)))</f>
        <v>95.555555555555557</v>
      </c>
    </row>
    <row r="34" spans="1:32" ht="18" x14ac:dyDescent="0.3">
      <c r="B34" s="45" t="s">
        <v>48</v>
      </c>
      <c r="I34" s="67"/>
      <c r="J34" s="68" t="s">
        <v>49</v>
      </c>
      <c r="K34" s="68" t="s">
        <v>50</v>
      </c>
      <c r="L34" s="68" t="s">
        <v>51</v>
      </c>
      <c r="M34" s="68" t="s">
        <v>52</v>
      </c>
      <c r="N34" s="68" t="s">
        <v>53</v>
      </c>
    </row>
    <row r="35" spans="1:32" x14ac:dyDescent="0.3">
      <c r="B35" s="3" t="s">
        <v>54</v>
      </c>
      <c r="I35" s="67"/>
      <c r="J35" s="67"/>
      <c r="K35" s="67"/>
      <c r="L35" s="67"/>
      <c r="M35" s="67"/>
      <c r="N35" s="67"/>
    </row>
    <row r="36" spans="1:32" s="9" customFormat="1" x14ac:dyDescent="0.3">
      <c r="A36"/>
      <c r="B36" s="3" t="s">
        <v>55</v>
      </c>
      <c r="C36"/>
      <c r="D36"/>
      <c r="E36"/>
      <c r="F36"/>
      <c r="G36"/>
      <c r="H36"/>
      <c r="I36" s="67"/>
      <c r="J36" s="67"/>
      <c r="K36" s="67"/>
      <c r="L36" s="67"/>
      <c r="M36" s="67"/>
      <c r="N36" s="67"/>
      <c r="O36"/>
      <c r="P36"/>
      <c r="Q36"/>
      <c r="R36"/>
      <c r="S36"/>
      <c r="T36"/>
      <c r="U36"/>
      <c r="V36"/>
    </row>
    <row r="37" spans="1:32" s="9" customFormat="1" ht="15.75" thickBot="1" x14ac:dyDescent="0.35">
      <c r="A37"/>
      <c r="B37" s="69" t="s">
        <v>56</v>
      </c>
      <c r="C37" s="69" t="s">
        <v>57</v>
      </c>
      <c r="D37" s="69" t="s">
        <v>58</v>
      </c>
      <c r="E37" s="70" t="s">
        <v>59</v>
      </c>
      <c r="F37" s="70" t="s">
        <v>60</v>
      </c>
      <c r="G37" s="71" t="s">
        <v>61</v>
      </c>
      <c r="H37" s="71" t="s">
        <v>62</v>
      </c>
      <c r="I37" s="72"/>
      <c r="J37" s="67"/>
      <c r="K37" s="67"/>
      <c r="L37" s="67"/>
      <c r="M37" s="67"/>
      <c r="N37" s="67"/>
      <c r="O37"/>
      <c r="P37"/>
      <c r="Q37" s="163" t="s">
        <v>230</v>
      </c>
      <c r="R37" s="164"/>
      <c r="S37" s="164"/>
      <c r="T37" s="165"/>
      <c r="U37"/>
      <c r="V37"/>
    </row>
    <row r="38" spans="1:32" s="9" customFormat="1" ht="48" customHeight="1" thickBot="1" x14ac:dyDescent="0.35">
      <c r="A38" s="159" t="s">
        <v>63</v>
      </c>
      <c r="B38" s="73" t="s">
        <v>64</v>
      </c>
      <c r="C38" s="74" t="s">
        <v>65</v>
      </c>
      <c r="D38" s="74" t="s">
        <v>66</v>
      </c>
      <c r="E38" s="75">
        <v>10</v>
      </c>
      <c r="F38" s="73" t="s">
        <v>67</v>
      </c>
      <c r="G38" s="73" t="s">
        <v>67</v>
      </c>
      <c r="H38" s="73" t="s">
        <v>67</v>
      </c>
      <c r="I38" s="76" t="s">
        <v>49</v>
      </c>
      <c r="J38" s="77">
        <v>1</v>
      </c>
      <c r="K38" s="67"/>
      <c r="L38" s="67"/>
      <c r="M38" s="67"/>
      <c r="N38" s="67"/>
      <c r="O38"/>
      <c r="P38"/>
      <c r="Q38" s="166" t="s">
        <v>225</v>
      </c>
      <c r="R38" s="167"/>
      <c r="S38" s="167"/>
      <c r="T38" s="167"/>
      <c r="U38"/>
      <c r="V38"/>
    </row>
    <row r="39" spans="1:32" s="9" customFormat="1" ht="48" customHeight="1" thickBot="1" x14ac:dyDescent="0.35">
      <c r="A39" s="159"/>
      <c r="B39" s="78" t="s">
        <v>68</v>
      </c>
      <c r="C39" s="79" t="s">
        <v>69</v>
      </c>
      <c r="D39" s="79" t="s">
        <v>70</v>
      </c>
      <c r="E39" s="80">
        <v>100</v>
      </c>
      <c r="F39" s="78" t="s">
        <v>71</v>
      </c>
      <c r="G39" s="78" t="s">
        <v>72</v>
      </c>
      <c r="H39" s="78" t="s">
        <v>73</v>
      </c>
      <c r="I39" s="76" t="s">
        <v>50</v>
      </c>
      <c r="J39" s="81">
        <v>0.7</v>
      </c>
      <c r="K39" s="72"/>
      <c r="L39" s="67"/>
      <c r="M39" s="67"/>
      <c r="N39" s="67"/>
      <c r="O39"/>
      <c r="P39"/>
      <c r="Q39" s="168" t="s">
        <v>226</v>
      </c>
      <c r="R39" s="167"/>
      <c r="S39" s="167"/>
      <c r="T39" s="167"/>
      <c r="U39"/>
      <c r="V39"/>
    </row>
    <row r="40" spans="1:32" s="9" customFormat="1" ht="48" customHeight="1" thickBot="1" x14ac:dyDescent="0.35">
      <c r="A40" s="159"/>
      <c r="B40" s="78" t="s">
        <v>74</v>
      </c>
      <c r="C40" s="79" t="s">
        <v>75</v>
      </c>
      <c r="D40" s="79" t="s">
        <v>76</v>
      </c>
      <c r="E40" s="80">
        <v>1000</v>
      </c>
      <c r="F40" s="78" t="s">
        <v>77</v>
      </c>
      <c r="G40" s="82" t="s">
        <v>78</v>
      </c>
      <c r="H40" s="82" t="s">
        <v>72</v>
      </c>
      <c r="I40" s="76" t="s">
        <v>51</v>
      </c>
      <c r="J40" s="81">
        <v>0.5</v>
      </c>
      <c r="K40" s="83"/>
      <c r="L40" s="72"/>
      <c r="M40" s="67"/>
      <c r="N40" s="67"/>
      <c r="O40"/>
      <c r="P40"/>
      <c r="Q40" s="169" t="s">
        <v>227</v>
      </c>
      <c r="R40" s="167"/>
      <c r="S40" s="167"/>
      <c r="T40" s="167"/>
      <c r="U40"/>
      <c r="V40"/>
    </row>
    <row r="41" spans="1:32" s="9" customFormat="1" ht="48" customHeight="1" thickBot="1" x14ac:dyDescent="0.35">
      <c r="A41" s="159"/>
      <c r="B41" s="78" t="s">
        <v>79</v>
      </c>
      <c r="C41" s="79" t="s">
        <v>80</v>
      </c>
      <c r="D41" s="79" t="s">
        <v>81</v>
      </c>
      <c r="E41" s="80">
        <v>10000</v>
      </c>
      <c r="F41" s="78" t="s">
        <v>82</v>
      </c>
      <c r="G41" s="82" t="s">
        <v>83</v>
      </c>
      <c r="H41" s="82" t="s">
        <v>84</v>
      </c>
      <c r="I41" s="76" t="s">
        <v>52</v>
      </c>
      <c r="J41" s="81">
        <v>0.3</v>
      </c>
      <c r="K41" s="83"/>
      <c r="L41" s="83"/>
      <c r="M41" s="72"/>
      <c r="N41" s="67"/>
      <c r="O41"/>
      <c r="P41"/>
      <c r="Q41" s="170" t="s">
        <v>228</v>
      </c>
      <c r="R41" s="171"/>
      <c r="S41" s="171"/>
      <c r="T41" s="171"/>
      <c r="U41"/>
      <c r="V41"/>
    </row>
    <row r="42" spans="1:32" s="9" customFormat="1" ht="48" customHeight="1" thickBot="1" x14ac:dyDescent="0.35">
      <c r="A42" s="159"/>
      <c r="B42" s="78" t="s">
        <v>85</v>
      </c>
      <c r="C42" s="79" t="s">
        <v>86</v>
      </c>
      <c r="D42" s="79" t="s">
        <v>87</v>
      </c>
      <c r="E42" s="84">
        <v>10000</v>
      </c>
      <c r="F42" s="78" t="s">
        <v>88</v>
      </c>
      <c r="G42" s="82" t="s">
        <v>89</v>
      </c>
      <c r="H42" s="82" t="s">
        <v>90</v>
      </c>
      <c r="I42" s="76" t="s">
        <v>53</v>
      </c>
      <c r="J42" s="85">
        <v>0.1</v>
      </c>
      <c r="K42" s="83"/>
      <c r="L42" s="83"/>
      <c r="M42" s="83"/>
      <c r="N42" s="72"/>
      <c r="O42"/>
      <c r="P42"/>
      <c r="Q42" s="172" t="s">
        <v>229</v>
      </c>
      <c r="R42" s="171"/>
      <c r="S42" s="171"/>
      <c r="T42" s="171"/>
      <c r="U42"/>
      <c r="V42"/>
    </row>
    <row r="43" spans="1:32" s="9" customFormat="1" x14ac:dyDescent="0.3">
      <c r="A43"/>
      <c r="B43"/>
      <c r="C43"/>
      <c r="D43"/>
      <c r="E43"/>
      <c r="F43"/>
      <c r="G43"/>
      <c r="H43"/>
      <c r="I43"/>
      <c r="J43" s="86"/>
      <c r="K43"/>
      <c r="L43"/>
      <c r="M43"/>
      <c r="N43"/>
      <c r="O43"/>
      <c r="P43"/>
      <c r="Q43"/>
      <c r="R43"/>
      <c r="S43"/>
      <c r="T43"/>
      <c r="U43"/>
      <c r="V43"/>
    </row>
    <row r="44" spans="1:32" s="9" customFormat="1" x14ac:dyDescent="0.3">
      <c r="A44"/>
      <c r="B44" s="151" t="s">
        <v>216</v>
      </c>
      <c r="C44" s="96"/>
      <c r="D44" s="96"/>
      <c r="E44" s="152"/>
      <c r="F44"/>
      <c r="G44"/>
      <c r="H44"/>
      <c r="I44"/>
      <c r="J44" s="87" t="s">
        <v>223</v>
      </c>
      <c r="K44" s="88"/>
      <c r="L44" s="88"/>
      <c r="M44" s="88"/>
      <c r="N44" s="88"/>
      <c r="O44" s="88"/>
      <c r="P44" s="88"/>
      <c r="Q44"/>
      <c r="R44"/>
      <c r="S44"/>
      <c r="T44"/>
      <c r="U44"/>
      <c r="V44"/>
    </row>
    <row r="45" spans="1:32" s="9" customFormat="1" x14ac:dyDescent="0.3">
      <c r="A45"/>
      <c r="B45" s="5" t="s">
        <v>217</v>
      </c>
      <c r="C45" s="2"/>
      <c r="D45" s="2"/>
      <c r="E45" s="2"/>
      <c r="F45" s="2"/>
      <c r="G45" s="2"/>
      <c r="H45" s="2"/>
      <c r="I45" s="2"/>
      <c r="J45" s="2"/>
      <c r="K45" s="2"/>
      <c r="L45" s="2"/>
      <c r="M45" s="2"/>
      <c r="N45" s="2"/>
      <c r="O45"/>
      <c r="P45"/>
      <c r="Q45"/>
      <c r="R45"/>
      <c r="S45"/>
      <c r="T45"/>
      <c r="U45"/>
      <c r="V45"/>
    </row>
    <row r="46" spans="1:32" s="9" customFormat="1" x14ac:dyDescent="0.3">
      <c r="A46"/>
      <c r="B46" s="5" t="s">
        <v>218</v>
      </c>
      <c r="C46"/>
      <c r="D46"/>
      <c r="E46"/>
      <c r="F46"/>
      <c r="G46"/>
      <c r="H46"/>
      <c r="I46"/>
      <c r="J46"/>
      <c r="K46"/>
      <c r="L46"/>
      <c r="M46"/>
      <c r="N46"/>
      <c r="O46"/>
      <c r="P46"/>
      <c r="Q46"/>
      <c r="R46"/>
      <c r="S46"/>
      <c r="T46"/>
      <c r="U46"/>
      <c r="V46"/>
    </row>
    <row r="47" spans="1:32" s="9" customFormat="1" x14ac:dyDescent="0.3">
      <c r="A47"/>
      <c r="B47" s="2" t="s">
        <v>219</v>
      </c>
      <c r="C47"/>
      <c r="D47"/>
      <c r="E47"/>
      <c r="F47"/>
      <c r="G47"/>
      <c r="H47"/>
      <c r="I47"/>
      <c r="J47"/>
      <c r="K47"/>
      <c r="L47"/>
    </row>
    <row r="48" spans="1:32" s="9" customFormat="1" x14ac:dyDescent="0.3">
      <c r="A48"/>
      <c r="B48" s="2" t="s">
        <v>220</v>
      </c>
      <c r="C48"/>
      <c r="D48"/>
      <c r="E48"/>
      <c r="F48"/>
      <c r="G48"/>
      <c r="H48"/>
      <c r="I48"/>
      <c r="J48"/>
      <c r="K48"/>
      <c r="L48"/>
    </row>
    <row r="49" spans="1:12" s="9" customFormat="1" x14ac:dyDescent="0.3">
      <c r="A49"/>
      <c r="B49" s="2" t="s">
        <v>221</v>
      </c>
      <c r="C49"/>
      <c r="D49"/>
      <c r="E49"/>
      <c r="F49"/>
      <c r="G49"/>
      <c r="H49"/>
      <c r="I49"/>
      <c r="J49"/>
      <c r="K49"/>
      <c r="L49"/>
    </row>
    <row r="50" spans="1:12" s="9" customFormat="1" ht="17.25" x14ac:dyDescent="0.3">
      <c r="A50"/>
      <c r="B50" s="2" t="s">
        <v>257</v>
      </c>
      <c r="C50"/>
      <c r="D50"/>
      <c r="E50"/>
      <c r="F50"/>
      <c r="G50"/>
      <c r="H50"/>
      <c r="I50"/>
      <c r="J50"/>
      <c r="K50"/>
      <c r="L50"/>
    </row>
    <row r="51" spans="1:12" s="9" customFormat="1" x14ac:dyDescent="0.3">
      <c r="A51"/>
      <c r="B51" s="2" t="s">
        <v>222</v>
      </c>
      <c r="C51"/>
      <c r="D51"/>
      <c r="E51"/>
      <c r="F51"/>
      <c r="G51"/>
      <c r="H51"/>
      <c r="I51"/>
      <c r="J51"/>
      <c r="K51"/>
      <c r="L51"/>
    </row>
    <row r="52" spans="1:12" s="9" customFormat="1" ht="15.75" thickBot="1" x14ac:dyDescent="0.35">
      <c r="A52" s="89" t="s">
        <v>224</v>
      </c>
      <c r="B52" s="90"/>
      <c r="C52" s="90"/>
      <c r="D52" s="90"/>
      <c r="E52" s="90"/>
      <c r="F52" s="90"/>
      <c r="G52" s="90"/>
      <c r="H52" s="90"/>
      <c r="I52" s="91"/>
      <c r="J52"/>
      <c r="K52"/>
      <c r="L52"/>
    </row>
    <row r="53" spans="1:12" s="9" customFormat="1" ht="108" customHeight="1" x14ac:dyDescent="0.3">
      <c r="A53" s="158" t="s">
        <v>247</v>
      </c>
      <c r="B53" s="158"/>
      <c r="C53" s="158"/>
      <c r="D53" s="158"/>
      <c r="E53" s="158"/>
      <c r="F53" s="158"/>
      <c r="G53" s="158"/>
      <c r="H53" s="158"/>
      <c r="I53" s="158"/>
      <c r="J53"/>
      <c r="K53"/>
      <c r="L53"/>
    </row>
    <row r="54" spans="1:12" hidden="1" x14ac:dyDescent="0.3"/>
  </sheetData>
  <dataConsolidate/>
  <mergeCells count="14">
    <mergeCell ref="Q37:T37"/>
    <mergeCell ref="A38:A42"/>
    <mergeCell ref="Q38:T38"/>
    <mergeCell ref="Q39:T39"/>
    <mergeCell ref="Q40:T40"/>
    <mergeCell ref="Q41:T41"/>
    <mergeCell ref="Q42:T42"/>
    <mergeCell ref="H10:N10"/>
    <mergeCell ref="H13:N13"/>
    <mergeCell ref="H14:N14"/>
    <mergeCell ref="H12:N12"/>
    <mergeCell ref="A53:I53"/>
    <mergeCell ref="A29:A33"/>
    <mergeCell ref="H11:N11"/>
  </mergeCells>
  <conditionalFormatting sqref="P29:T33">
    <cfRule type="cellIs" dxfId="14" priority="11" operator="greaterThanOrEqual">
      <formula>$T$28</formula>
    </cfRule>
    <cfRule type="cellIs" dxfId="13" priority="12" operator="greaterThanOrEqual">
      <formula>$S$28</formula>
    </cfRule>
    <cfRule type="cellIs" dxfId="12" priority="13" operator="greaterThanOrEqual">
      <formula>$R$28</formula>
    </cfRule>
    <cfRule type="cellIs" dxfId="11" priority="14" operator="greaterThanOrEqual">
      <formula>$Q$28</formula>
    </cfRule>
    <cfRule type="cellIs" dxfId="10" priority="15" operator="lessThan">
      <formula>$Q$28</formula>
    </cfRule>
  </conditionalFormatting>
  <conditionalFormatting sqref="V29:Z33">
    <cfRule type="cellIs" dxfId="9" priority="6" operator="greaterThanOrEqual">
      <formula>$Z$28</formula>
    </cfRule>
    <cfRule type="cellIs" dxfId="8" priority="7" operator="greaterThanOrEqual">
      <formula>$Y$28</formula>
    </cfRule>
    <cfRule type="cellIs" dxfId="7" priority="8" operator="greaterThanOrEqual">
      <formula>$X$28</formula>
    </cfRule>
    <cfRule type="cellIs" dxfId="6" priority="9" operator="greaterThanOrEqual">
      <formula>$W$28</formula>
    </cfRule>
    <cfRule type="cellIs" dxfId="5" priority="10" operator="lessThan">
      <formula>$W$28</formula>
    </cfRule>
  </conditionalFormatting>
  <conditionalFormatting sqref="AB29:AF33">
    <cfRule type="cellIs" dxfId="4" priority="1" operator="greaterThanOrEqual">
      <formula>$AF$28</formula>
    </cfRule>
    <cfRule type="cellIs" dxfId="3" priority="2" operator="greaterThanOrEqual">
      <formula>$AE$28</formula>
    </cfRule>
    <cfRule type="cellIs" dxfId="2" priority="3" operator="greaterThanOrEqual">
      <formula>$AD$28</formula>
    </cfRule>
    <cfRule type="cellIs" dxfId="1" priority="4" operator="greaterThanOrEqual">
      <formula>$AC$28</formula>
    </cfRule>
    <cfRule type="cellIs" dxfId="0" priority="5" operator="lessThan">
      <formula>$AC$28</formula>
    </cfRule>
  </conditionalFormatting>
  <dataValidations xWindow="393" yWindow="451" count="52">
    <dataValidation type="custom" showInputMessage="1" showErrorMessage="1" errorTitle="Please note:" error="This cell is protected against changers in order to prevent accidental alteration of the results." promptTitle="Probability of failure category:" prompt="The category for the probability of failure (PoF) which applies, given the applicable assessment criteria._x000a__x000a_in the event of a failure (the requirements are no longer met), category 6 can be applied._x000a_This has the same effect as a category 5. " sqref="I29">
      <formula1>0</formula1>
    </dataValidation>
    <dataValidation type="custom" showInputMessage="1" showErrorMessage="1" errorTitle="Please note:" error="This cell is protected against changers in order to prevent accidental alteration of the results." promptTitle="Failure probability class:" prompt="The class in which the probability of failure falls, given the assessment criteria applied._x000a__x000a_Category 6 has been added in the event that the requirements are no longer met, resulting in a failure situation." sqref="I28">
      <formula1>0</formula1>
    </dataValidation>
    <dataValidation type="custom" showInputMessage="1" showErrorMessage="1" errorTitle="Note please:" error="The cell is protected against changes to prevent unintended changes." promptTitle="Action with respect to risk:" prompt="The required action which is deemed necessary in order to reduce the present risk towards an acceptable level." sqref="Q37:T37">
      <formula1>0</formula1>
    </dataValidation>
    <dataValidation type="custom" showInputMessage="1" showErrorMessage="1" errorTitle="Please note:" error="This cell is protected against changers in order to prevent accidental alteration of the results." promptTitle="The consequence class (D):" prompt="The consequence class that applies, given the applied assessment criteria for the consequences of failure._x000a__x000a_Consequence factor: &quot;High&quot;. " sqref="M34">
      <formula1>0</formula1>
    </dataValidation>
    <dataValidation type="custom" showInputMessage="1" showErrorMessage="1" errorTitle="Please note:" error="This cell is protected against changers in order to prevent accidental alteration of the results." promptTitle="The consequence class (C):" prompt="The consequence class that applies, given the applied assessment criteria for the consequences of failure._x000a__x000a_Consequence factor: &quot;Medium&quot;. " sqref="L34">
      <formula1>0</formula1>
    </dataValidation>
    <dataValidation type="custom" showInputMessage="1" showErrorMessage="1" errorTitle="Please note:" error="This cell is protected against changers in order to prevent accidental alteration of the results." promptTitle="The consequence class (B):" prompt="The consequence class that applies, given the applied assessment criteria for the consequences of failure._x000a__x000a_Consequence factor: &quot;Low&quot;. " sqref="K34">
      <formula1>0</formula1>
    </dataValidation>
    <dataValidation type="custom" showInputMessage="1" showErrorMessage="1" errorTitle="Please note:" error="This cell is protected against changers in order to prevent accidental alteration of the results." promptTitle="The consequence class (A):" prompt="The consequence class that applies, given the applied assessment criteria for the consequences of failure._x000a__x000a_Consequence factor: &quot;Very low&quot;. " sqref="J34">
      <formula1>0</formula1>
    </dataValidation>
    <dataValidation type="custom" showInputMessage="1" showErrorMessage="1" errorTitle="Please note:" error="This cell is protected against changers in order to prevent accidental alteration of the results." promptTitle="The consequence class (E):" prompt="The consequence class that applies, given the applied assessment criteria for the consequences of failure._x000a__x000a_Consequence factor: &quot;Very high&quot;. " sqref="N34">
      <formula1>0</formula1>
    </dataValidation>
    <dataValidation type="custom" showInputMessage="1" showErrorMessage="1" errorTitle="Please note:" error="This cell is protected against changers in order to prevent accidental alteration of the results." promptTitle="Probability of failure class:" prompt="The category for the probability of failure which applies, given the applicable assessment criteria." sqref="I30:I33">
      <formula1>0</formula1>
    </dataValidation>
    <dataValidation type="custom" showInputMessage="1" showErrorMessage="1" errorTitle="Please note:" error="This cell is protected against changers in order to prevent accidental alteration of the results." promptTitle="Consequence factor:" prompt="Very high, according to categories in table A5." sqref="I42">
      <formula1>0</formula1>
    </dataValidation>
    <dataValidation type="custom" showInputMessage="1" showErrorMessage="1" errorTitle="Please note:" error="This cell is protected against changers in order to prevent accidental alteration of the results." promptTitle="Consequence factor:" prompt="High, according to categories in table A5." sqref="I41">
      <formula1>0</formula1>
    </dataValidation>
    <dataValidation type="custom" showInputMessage="1" showErrorMessage="1" errorTitle="Please note:" error="This cell is protected against changers in order to prevent accidental alteration of the results." promptTitle="Consequence factor:" prompt="Medium, according to categories in table A5." sqref="I40">
      <formula1>0</formula1>
    </dataValidation>
    <dataValidation type="custom" showInputMessage="1" showErrorMessage="1" errorTitle="Please note:" error="This cell is protected against changers in order to prevent accidental alteration of the results." promptTitle="Consequence factor:" prompt="Low, according to categories in table A5." sqref="I39">
      <formula1>0</formula1>
    </dataValidation>
    <dataValidation type="custom" showInputMessage="1" showErrorMessage="1" errorTitle="Please note:" error="This cell is protected against changers in order to prevent accidental alteration of the results." promptTitle="Consequence factor:" prompt="Very low, according to categories in table A5." sqref="I38">
      <formula1>0</formula1>
    </dataValidation>
    <dataValidation type="custom" showInputMessage="1" showErrorMessage="1" errorTitle="Please note:" error="This cell is protected against changers in order to prevent accidental alteration of the results." promptTitle="Consequence based correction:" prompt="The correction factor for the inspection interval related to the consequences, as per legislative perspective._x000a_These factors are based on the Dutch PRdA 2.3 &quot;Reference instrument&quot;, Appendix 5B, with an add-on for &quot;very high&quot;/&quot;extreme&quot; failure consequences" sqref="J38:J42">
      <formula1>0</formula1>
    </dataValidation>
    <dataValidation type="custom" showInputMessage="1" showErrorMessage="1" errorTitle="Please note:" error="This cell is protected against changers in order to prevent accidental alteration of the results." promptTitle="Description:" prompt="The description of how to determine whether the probability of failure is present." sqref="G28">
      <formula1>0</formula1>
    </dataValidation>
    <dataValidation type="custom" showInputMessage="1" showErrorMessage="1" errorTitle="Please note:" error="This cell is protected against changers in order to prevent accidental alteration of the results." promptTitle="Qualitative" prompt="The qualitative description of the probability of the occurrence of the particular, undesirable, event that determines the risk present. " sqref="F28">
      <formula1>0</formula1>
    </dataValidation>
    <dataValidation type="custom" showInputMessage="1" showErrorMessage="1" errorTitle="Please note:" error="This cell is protected against changers in order to prevent accidental alteration of the results." promptTitle="U_Limit (in years)" prompt="The lower limit in the boundaries, as mentioned by the MOTBF._x000a_In the operational situation, this can be regarded as the minimum remaining life at that moment." sqref="C28">
      <formula1>0</formula1>
    </dataValidation>
    <dataValidation type="custom" showInputMessage="1" showErrorMessage="1" errorTitle="Please note:" error="This cell is protected against changers in order to prevent accidental alteration of the results." promptTitle="MeanOperatingTimeBetweenFailure" prompt="MOTBF; Mean Operating Time Between Failure._x000a_In other words, the average time between the repetition of a failure scenario._x000a_The failure probability applies by replacing in time." sqref="B28">
      <formula1>0</formula1>
    </dataValidation>
    <dataValidation type="custom" showInputMessage="1" showErrorMessage="1" errorTitle="Please note:" error="This cell is protected against changers in order to prevent accidental alteration of the results." promptTitle="Probability of failure (PoF):" prompt="This concerns the failure probability of an installation part during the time indicated above until failure._x000a_This assumes that the installation part will be replaced in time._x000a_When used up to and including the service life, T(avg) PoF is 1/ service life." sqref="D28">
      <formula1>0</formula1>
    </dataValidation>
    <dataValidation allowBlank="1" showInputMessage="1" showErrorMessage="1" promptTitle="Probability of Failure" prompt="The highest value (thus the largest probability) for the POF is taken with the highest financial value in a range._x000a_This table therefore contains the upper limit for the value of the risk." sqref="X27"/>
    <dataValidation allowBlank="1" showInputMessage="1" showErrorMessage="1" promptTitle="Probability of Failure" prompt="The lowest value (that is, the smallest probability) for the POF is taken with the lowest financial value in a range._x000a_This table therefore contains the lower value for the risk. " sqref="R27"/>
    <dataValidation type="custom" showInputMessage="1" showErrorMessage="1" errorTitle="Please note:" error="This cell is protected against changers in order to prevent accidental alteration of the results." promptTitle="Business effects (k€)" prompt="Upper limit on business effects." sqref="E37">
      <formula1>0</formula1>
    </dataValidation>
    <dataValidation type="custom" showInputMessage="1" showErrorMessage="1" errorTitle="Please note:" error="This cell is protected against changers in order to prevent accidental alteration of the results." promptTitle="Upper limit of PoF" prompt="Probability of failure; upper limit." sqref="E28">
      <formula1>0</formula1>
    </dataValidation>
    <dataValidation type="list" allowBlank="1" showInputMessage="1" showErrorMessage="1" promptTitle="Option:" prompt="Select the option that applies from the list of the consequences of failure below." sqref="C17:C23">
      <formula1>$I$38:$I$42</formula1>
    </dataValidation>
    <dataValidation type="list" allowBlank="1" showInputMessage="1" showErrorMessage="1" sqref="C16">
      <formula1>"Yes,Uncertain,No"</formula1>
    </dataValidation>
    <dataValidation type="custom" showInputMessage="1" showErrorMessage="1" errorTitle="Protected!" error="The cell is protected against unintentional changes!" promptTitle="CUI Profile:" prompt="This concerns the average costs, as can be expected for the installation in the event of a failure situation in the event of a CUI incident._x000a_This is company specific." sqref="D17">
      <formula1>0</formula1>
    </dataValidation>
    <dataValidation type="list" showInputMessage="1" showErrorMessage="1" promptTitle="Option (see reference table):" prompt="Select the option that applies based on the overview of the effectiveness of control measures._x000a_The effectiveness classes used are in accordance with API 581." sqref="C25">
      <formula1>$I$38:$I$42</formula1>
    </dataValidation>
    <dataValidation allowBlank="1" showInputMessage="1" showErrorMessage="1" promptTitle="Option:" prompt="Select the option that applies based on the overview of the effectiveness of control measures." sqref="B25"/>
    <dataValidation type="custom" showInputMessage="1" showErrorMessage="1" errorTitle="Please note!" error="The contents of this cell is protected for changes in order to avoid unintended effects!" sqref="L18:N22">
      <formula1>0</formula1>
    </dataValidation>
    <dataValidation allowBlank="1" showInputMessage="1" showErrorMessage="1" promptTitle="Coverage:" prompt="The percentage of &quot;hot spots&quot; / risk areas, which has been investigated by means of NDT." sqref="N17"/>
    <dataValidation allowBlank="1" showInputMessage="1" showErrorMessage="1" promptTitle="Reduction factor:" prompt="The degree of risk reduction, when the applied technique with the indicated effectiveness class is used, assuming a coverage of hotspots that corresponds to the percentage in the next column." sqref="M17"/>
    <dataValidation allowBlank="1" showInputMessage="1" showErrorMessage="1" promptTitle="Effectivity class:" prompt="The effectiveness class, analogous to the setup from API 581." sqref="L17"/>
    <dataValidation type="custom" allowBlank="1" showInputMessage="1" showErrorMessage="1" errorTitle="Protected!" error="The cell is protected against unintentional changes!" promptTitle="Resulting earning capacity:" prompt="The difference between the risk and the controlled risk when applying Risk Based COI management with the effectiveness as expected in the given situation." sqref="G23">
      <formula1>0</formula1>
    </dataValidation>
    <dataValidation type="custom" showInputMessage="1" showErrorMessage="1" errorTitle="Protected!" error="The cell is protected against unintentional changes!" promptTitle="Return on investment:" prompt="The difference between the costs of controlling the risk and the merit that can be achieved when applying Risk Based COI management with the effectiveness of the method._x000a_This comprises costs of:_x000a_CUI programs+_x000a_  unmitigated risk -_x000a_       mitigated risk" sqref="H23">
      <formula1>0</formula1>
    </dataValidation>
    <dataValidation type="custom" showInputMessage="1" showErrorMessage="1" errorTitle="Cell is protected." error="The cell has is protected against unintentional changes!" sqref="D16">
      <formula1>0</formula1>
    </dataValidation>
    <dataValidation type="custom" showInputMessage="1" showErrorMessage="1" errorTitle="Afgeschermd!" error="De cel is afgeschermd tegen onbedoelde wijziging!" sqref="D25:F25 H22 H24:H25">
      <formula1>0</formula1>
    </dataValidation>
    <dataValidation type="custom" showInputMessage="1" showErrorMessage="1" errorTitle="Afgeschermd!" error="De cel is afgeschermd tegen onbedoelde wijziging!" promptTitle="Remaining risk:" prompt="The risk which remains after control measures with the indicated effectivity have been applied._x000a_This is the so call &quot;mitigated risk&quot;." sqref="G25">
      <formula1>0</formula1>
    </dataValidation>
    <dataValidation allowBlank="1" showInputMessage="1" showErrorMessage="1" promptTitle="Costs per year:" prompt="Place the reasonably expected costs for the implementation of the CUI program here. This is installation dependent and therefore not a &quot;common number&quot; which is generally applicable._x000a__x000a_Guidance can be found in the PPTX for the best practise." sqref="H16"/>
    <dataValidation allowBlank="1" showInputMessage="1" showErrorMessage="1" promptTitle="Guidance questions:" prompt="These questions provide guidance in order to obtain a realistic picture of the current situation._x000a_A correct picture ultimately provides a an accepted snapshot of the business case for CUI management. " sqref="B9"/>
    <dataValidation allowBlank="1" showInputMessage="1" showErrorMessage="1" promptTitle="Answers to guidance questions:" prompt="The answers are typically of the type which help to obtain a picture of the current situation which is as realistic as possible._x000a_A correct picture ultimately provides a correct picture of the business case for COI management. " sqref="H9"/>
    <dataValidation allowBlank="1" showInputMessage="1" showErrorMessage="1" promptTitle="Way of looking at installation:" prompt="Is the installation in good condition?_x000a_So insulation sealed, no openings (sometimes from construction) and no damage by which moisture can leak into the installation." sqref="B14"/>
    <dataValidation type="custom" showInputMessage="1" showErrorMessage="1" errorTitle="Nota bene:" error="De cel is beschermd tegen wijzigingen, om onbedoelde veranderingen uit te kunnen sluiten." promptTitle="Action with respect to risk:" prompt="The required action which is deemed necessary in order to reduce the present risk towards an acceptable level." sqref="Q38:T42">
      <formula1>0</formula1>
    </dataValidation>
    <dataValidation type="custom" showInputMessage="1" showErrorMessage="1" errorTitle="Protected!" error="The cell is protected against unintentional changes!" sqref="G24 G22 F18:F19">
      <formula1>0</formula1>
    </dataValidation>
    <dataValidation type="custom" showInputMessage="1" showErrorMessage="1" errorTitle="Protected!" error="The cell is protected against unintentional changes!!" sqref="H20:H21 G21">
      <formula1>0</formula1>
    </dataValidation>
    <dataValidation type="custom" showInputMessage="1" showErrorMessage="1" errorTitle="Protected!" error="The cell is protected against unintentional changes!!" promptTitle="Unmitigated risk:" prompt="The risk apportionment, as per risk matrix, of the risk as present in the ACTUAL situation with the applied level of maintenance and care._x000a_This is assumably the &quot;unmitigated risk&quot;" sqref="G20">
      <formula1>0</formula1>
    </dataValidation>
    <dataValidation allowBlank="1" showInputMessage="1" showErrorMessage="1" promptTitle="Optional answer:" prompt="Answer only required in case there is no clear idea about the risks that apply in the actual situation._x000a_So the objective here is, to obtain a clear impression about the risk level that applies on behalf of the assessment on the next lines." sqref="H10:N14"/>
    <dataValidation type="custom" showInputMessage="1" showErrorMessage="1" errorTitle="Please note:" error="This cell is protected against changers in order to prevent accidental alteration of the results." sqref="B37:D37 F37:H37 J44">
      <formula1>0</formula1>
    </dataValidation>
    <dataValidation type="custom" showInputMessage="1" showErrorMessage="1" errorTitle="Please note:" error="This cell is protected against changers in order to prevent accidental alteration of the results." promptTitle="Casuistry:" prompt="A description of the number of occurence of events, on local, regional or even on global scale." sqref="H28">
      <formula1>0</formula1>
    </dataValidation>
    <dataValidation type="custom" showInputMessage="1" showErrorMessage="1" errorTitle="Protected!" error="The cell is protected against unintentional changes!" promptTitle="Tool-perspective:" prompt="The level of control on the event, as per reduction factor, on the applicable risk. This as per view on applied tooling._x000a_A figure close to 1 reflects almost complete reduction of the applicable risk." sqref="E18">
      <formula1>0</formula1>
    </dataValidation>
    <dataValidation type="custom" showInputMessage="1" showErrorMessage="1" errorTitle="Protected!" error="The cell is protected against unintentional changes!" promptTitle="HLS perspective:" prompt="The level of control on the event, as per reduction factor, on the applicable risk. This as per view on applied management structure based on the ISO High Level structure._x000a_A figure close to 1 reflects almost complete reduction of the applicable risk." sqref="E19">
      <formula1>0</formula1>
    </dataValidation>
    <dataValidation allowBlank="1" showInputMessage="1" showErrorMessage="1" promptTitle="Limit criterion:" prompt="The base limit set which determines which cells will obtain which color._x000a_This is a means to reflect the criticality as per related costs level._x000a_Depending on the way of calculation applied (min./ave./max.), the limit can differ." sqref="P28:T28 V28:Z28 AB28:AF28 AF28 AB28:AF28"/>
  </dataValidations>
  <pageMargins left="0.70866141732283472" right="0.70866141732283472" top="1.3385826771653544" bottom="0.74803149606299213" header="0.31496062992125984" footer="0.31496062992125984"/>
  <pageSetup paperSize="9" scale="75" orientation="landscape" r:id="rId1"/>
  <headerFooter>
    <oddHeader>&amp;L&amp;G&amp;RWorld Class Maintenance project: Risk Based CUI Management.</oddHeader>
    <oddFooter>&amp;L&amp;9File / Tab: &amp;F / &amp;A&amp;C&amp;9Printdatum: &amp;D&amp;R&amp;9Bladzijde &amp;P van &amp;N.</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2039ADD5E94A4BB0B15B5FB7ADAC87" ma:contentTypeVersion="6" ma:contentTypeDescription="Create a new document." ma:contentTypeScope="" ma:versionID="01b5e44866dc18d9b3fd6fcd47944d7a">
  <xsd:schema xmlns:xsd="http://www.w3.org/2001/XMLSchema" xmlns:xs="http://www.w3.org/2001/XMLSchema" xmlns:p="http://schemas.microsoft.com/office/2006/metadata/properties" xmlns:ns2="38e5a78e-e4a4-43bc-8811-d13ed7ad4f63" targetNamespace="http://schemas.microsoft.com/office/2006/metadata/properties" ma:root="true" ma:fieldsID="37d27698a04567d5c54218fea1b8dd69" ns2:_="">
    <xsd:import namespace="38e5a78e-e4a4-43bc-8811-d13ed7ad4f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e5a78e-e4a4-43bc-8811-d13ed7ad4f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43D6B8-AC4D-466E-9D7C-DB5C07A4A3E5}"/>
</file>

<file path=customXml/itemProps2.xml><?xml version="1.0" encoding="utf-8"?>
<ds:datastoreItem xmlns:ds="http://schemas.openxmlformats.org/officeDocument/2006/customXml" ds:itemID="{C53C2B5A-172D-43E5-A26B-79826F34CD08}"/>
</file>

<file path=customXml/itemProps3.xml><?xml version="1.0" encoding="utf-8"?>
<ds:datastoreItem xmlns:ds="http://schemas.openxmlformats.org/officeDocument/2006/customXml" ds:itemID="{C09E94CD-3660-4DDE-831B-0A2884A8241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Explanation</vt:lpstr>
      <vt:lpstr>Gap-analysis</vt:lpstr>
      <vt:lpstr>Result</vt:lpstr>
      <vt:lpstr>Costs_Benefit NEN-EN 16991</vt:lpstr>
      <vt:lpstr>LimitsMOTBF</vt:lpstr>
      <vt:lpstr>'Costs_Benefit NEN-EN 16991'!NDTEff</vt:lpstr>
      <vt:lpstr>'Costs_Benefit NEN-EN 16991'!Print_Area</vt:lpstr>
      <vt:lpstr>Explanation!Print_Area</vt:lpstr>
      <vt:lpstr>'Gap-analysis'!Print_Area</vt:lpstr>
      <vt:lpstr>'Costs_Benefit NEN-EN 16991'!Risk_MOTBF</vt:lpstr>
    </vt:vector>
  </TitlesOfParts>
  <Company>Stork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Gapanalysis wrt CUI RB Best practise</dc:title>
  <dc:creator>Geert Henk Wijnants</dc:creator>
  <cp:keywords>Reference framework;BP Risk Based CUI Mangement</cp:keywords>
  <dc:description>Version 10Feb2022.</dc:description>
  <cp:lastModifiedBy>Geert Henk Wijnants</cp:lastModifiedBy>
  <cp:lastPrinted>2021-05-25T11:15:52Z</cp:lastPrinted>
  <dcterms:created xsi:type="dcterms:W3CDTF">2020-06-24T13:52:08Z</dcterms:created>
  <dcterms:modified xsi:type="dcterms:W3CDTF">2022-02-14T21:14:07Z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0x0101001F2039ADD5E94A4BB0B15B5FB7ADAC87</vt:lpwstr>
  </property>
</Properties>
</file>